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johnw\Documents\DEM Files\VA Synod\Compensation Guidelines\2026 Compensation Guidelines\"/>
    </mc:Choice>
  </mc:AlternateContent>
  <xr:revisionPtr revIDLastSave="0" documentId="8_{D91AE930-DBD1-4EEB-B1CE-052A2DABAF04}" xr6:coauthVersionLast="47" xr6:coauthVersionMax="47" xr10:uidLastSave="{00000000-0000-0000-0000-000000000000}"/>
  <bookViews>
    <workbookView xWindow="-28920" yWindow="870" windowWidth="29040" windowHeight="15720" tabRatio="822" xr2:uid="{3A1AAD64-BC4A-478B-AE67-D196127D62C4}"/>
  </bookViews>
  <sheets>
    <sheet name="Welcome" sheetId="8" r:id="rId1"/>
    <sheet name="Comp Worksheet with Housing" sheetId="1" r:id="rId2"/>
    <sheet name="Reimbursable Expenses Worksheet" sheetId="2" r:id="rId3"/>
    <sheet name="Comp Worksheet with Parsonage" sheetId="4" r:id="rId4"/>
    <sheet name="Benefits" sheetId="5" r:id="rId5"/>
    <sheet name="2026 Pastor Cash Comp Housing" sheetId="7" r:id="rId6"/>
    <sheet name="2026 Pastor Cash Comp Parsonage" sheetId="6" r:id="rId7"/>
    <sheet name="Deacon Min. Salary Guidelines" sheetId="11" r:id="rId8"/>
    <sheet name="2025 Housing Cost Data" sheetId="3" r:id="rId9"/>
    <sheet name="Summary" sheetId="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1" l="1"/>
  <c r="G31" i="11"/>
  <c r="G30" i="11"/>
  <c r="G29" i="11"/>
  <c r="G28" i="11"/>
  <c r="G27" i="11"/>
  <c r="G26" i="11"/>
  <c r="G25" i="11"/>
  <c r="G24" i="11"/>
  <c r="G23" i="11"/>
  <c r="G22" i="11"/>
  <c r="G21" i="11"/>
  <c r="G20" i="11"/>
  <c r="G19" i="11"/>
  <c r="G18" i="11"/>
  <c r="G17" i="11"/>
  <c r="G16" i="11"/>
  <c r="G15" i="11"/>
  <c r="G14" i="11"/>
  <c r="G13" i="11"/>
  <c r="G12" i="11"/>
  <c r="G11" i="11"/>
  <c r="G10" i="11"/>
  <c r="G9" i="11"/>
  <c r="G8" i="11"/>
  <c r="E32" i="11"/>
  <c r="E31" i="11"/>
  <c r="E30" i="11"/>
  <c r="E29" i="11"/>
  <c r="E28" i="11"/>
  <c r="E27" i="11"/>
  <c r="E26" i="11"/>
  <c r="E25" i="11"/>
  <c r="E24" i="11"/>
  <c r="E23" i="11"/>
  <c r="E22" i="11"/>
  <c r="E21" i="11"/>
  <c r="E20" i="11"/>
  <c r="E19" i="11"/>
  <c r="E18" i="11"/>
  <c r="E17" i="11"/>
  <c r="E16" i="11"/>
  <c r="E15" i="11"/>
  <c r="E14" i="11"/>
  <c r="E13" i="11"/>
  <c r="E12" i="11"/>
  <c r="E11" i="11"/>
  <c r="E10" i="11"/>
  <c r="E9" i="11"/>
  <c r="E8" i="11"/>
  <c r="C32" i="11"/>
  <c r="C31" i="11"/>
  <c r="C30" i="11"/>
  <c r="C29" i="11"/>
  <c r="C28" i="11"/>
  <c r="C27" i="11"/>
  <c r="C26" i="11"/>
  <c r="C25" i="11"/>
  <c r="C24" i="11"/>
  <c r="C23" i="11"/>
  <c r="C22" i="11"/>
  <c r="C21" i="11"/>
  <c r="C20" i="11"/>
  <c r="C19" i="11"/>
  <c r="C18" i="11"/>
  <c r="C17" i="11"/>
  <c r="C16" i="11"/>
  <c r="C15" i="11"/>
  <c r="C14" i="11"/>
  <c r="C13" i="11"/>
  <c r="C12" i="11"/>
  <c r="C11" i="11"/>
  <c r="C10" i="11"/>
  <c r="C9" i="11"/>
  <c r="C8" i="11"/>
  <c r="I32" i="11"/>
  <c r="I31" i="11"/>
  <c r="I30" i="11"/>
  <c r="I29" i="11"/>
  <c r="I28" i="11"/>
  <c r="I27" i="11"/>
  <c r="I26" i="11"/>
  <c r="I25" i="11"/>
  <c r="I24" i="11"/>
  <c r="I23" i="11"/>
  <c r="I22" i="11"/>
  <c r="I21" i="11"/>
  <c r="I20" i="11"/>
  <c r="I19" i="11"/>
  <c r="I18" i="11"/>
  <c r="I17" i="11"/>
  <c r="I16" i="11"/>
  <c r="I15" i="11"/>
  <c r="I14" i="11"/>
  <c r="I13" i="11"/>
  <c r="I12" i="11"/>
  <c r="I11" i="11"/>
  <c r="I10" i="11"/>
  <c r="I9" i="11"/>
  <c r="I8" i="11"/>
  <c r="G33" i="6"/>
  <c r="G32" i="6"/>
  <c r="G31" i="6"/>
  <c r="G30" i="6"/>
  <c r="G29" i="6"/>
  <c r="G28" i="6"/>
  <c r="G27" i="6"/>
  <c r="G26" i="6"/>
  <c r="G25" i="6"/>
  <c r="G24" i="6"/>
  <c r="G23" i="6"/>
  <c r="G22" i="6"/>
  <c r="G21" i="6"/>
  <c r="G20" i="6"/>
  <c r="G19" i="6"/>
  <c r="G18" i="6"/>
  <c r="G17" i="6"/>
  <c r="G16" i="6"/>
  <c r="G15" i="6"/>
  <c r="G14" i="6"/>
  <c r="G13" i="6"/>
  <c r="G12" i="6"/>
  <c r="G11" i="6"/>
  <c r="G10" i="6"/>
  <c r="E33" i="6"/>
  <c r="E32" i="6"/>
  <c r="E31" i="6"/>
  <c r="E30" i="6"/>
  <c r="E29" i="6"/>
  <c r="E28" i="6"/>
  <c r="E27" i="6"/>
  <c r="E26" i="6"/>
  <c r="E25" i="6"/>
  <c r="E24" i="6"/>
  <c r="E23" i="6"/>
  <c r="E22" i="6"/>
  <c r="E21" i="6"/>
  <c r="E20" i="6"/>
  <c r="E19" i="6"/>
  <c r="E18" i="6"/>
  <c r="E17" i="6"/>
  <c r="E16" i="6"/>
  <c r="E15" i="6"/>
  <c r="E14" i="6"/>
  <c r="E13" i="6"/>
  <c r="E12" i="6"/>
  <c r="E11" i="6"/>
  <c r="E10" i="6"/>
  <c r="E9" i="6"/>
  <c r="C33" i="6"/>
  <c r="C32" i="6"/>
  <c r="C31" i="6"/>
  <c r="C30" i="6"/>
  <c r="C29" i="6"/>
  <c r="C28" i="6"/>
  <c r="C27" i="6"/>
  <c r="C26" i="6"/>
  <c r="C25" i="6"/>
  <c r="C24" i="6"/>
  <c r="C23" i="6"/>
  <c r="C22" i="6"/>
  <c r="C21" i="6"/>
  <c r="C20" i="6"/>
  <c r="C19" i="6"/>
  <c r="C18" i="6"/>
  <c r="C17" i="6"/>
  <c r="C16" i="6"/>
  <c r="C15" i="6"/>
  <c r="C14" i="6"/>
  <c r="C13" i="6"/>
  <c r="C12" i="6"/>
  <c r="C11" i="6"/>
  <c r="C10" i="6"/>
  <c r="C9" i="6"/>
  <c r="I33" i="6"/>
  <c r="I32" i="6"/>
  <c r="I31" i="6"/>
  <c r="I30" i="6"/>
  <c r="I29" i="6"/>
  <c r="I28" i="6"/>
  <c r="I27" i="6"/>
  <c r="I26" i="6"/>
  <c r="I25" i="6"/>
  <c r="I24" i="6"/>
  <c r="I23" i="6"/>
  <c r="I22" i="6"/>
  <c r="I21" i="6"/>
  <c r="I20" i="6"/>
  <c r="I19" i="6"/>
  <c r="I18" i="6"/>
  <c r="I17" i="6"/>
  <c r="I16" i="6"/>
  <c r="I15" i="6"/>
  <c r="I14" i="6"/>
  <c r="I13" i="6"/>
  <c r="I12" i="6"/>
  <c r="I11" i="6"/>
  <c r="I10" i="6"/>
  <c r="I9" i="6"/>
  <c r="G33" i="7"/>
  <c r="G32" i="7"/>
  <c r="G31" i="7"/>
  <c r="G30" i="7"/>
  <c r="G29" i="7"/>
  <c r="G28" i="7"/>
  <c r="G27" i="7"/>
  <c r="G26" i="7"/>
  <c r="G25" i="7"/>
  <c r="G24" i="7"/>
  <c r="G23" i="7"/>
  <c r="G22" i="7"/>
  <c r="G21" i="7"/>
  <c r="G20" i="7"/>
  <c r="G19" i="7"/>
  <c r="G18" i="7"/>
  <c r="G17" i="7"/>
  <c r="G16" i="7"/>
  <c r="G15" i="7"/>
  <c r="G14" i="7"/>
  <c r="G13" i="7"/>
  <c r="G12" i="7"/>
  <c r="G11" i="7"/>
  <c r="G10" i="7"/>
  <c r="G9" i="7"/>
  <c r="E33" i="7"/>
  <c r="E32" i="7"/>
  <c r="E31" i="7"/>
  <c r="E30" i="7"/>
  <c r="E29" i="7"/>
  <c r="E28" i="7"/>
  <c r="E27" i="7"/>
  <c r="E26" i="7"/>
  <c r="E25" i="7"/>
  <c r="E24" i="7"/>
  <c r="E23" i="7"/>
  <c r="E22" i="7"/>
  <c r="E21" i="7"/>
  <c r="E20" i="7"/>
  <c r="E19" i="7"/>
  <c r="E18" i="7"/>
  <c r="E17" i="7"/>
  <c r="E16" i="7"/>
  <c r="E15" i="7"/>
  <c r="E14" i="7"/>
  <c r="E13" i="7"/>
  <c r="E12" i="7"/>
  <c r="E11" i="7"/>
  <c r="E10" i="7"/>
  <c r="E9" i="7"/>
  <c r="C33" i="7"/>
  <c r="C32" i="7"/>
  <c r="C31" i="7"/>
  <c r="C30" i="7"/>
  <c r="C29" i="7"/>
  <c r="C28" i="7"/>
  <c r="C27" i="7"/>
  <c r="C26" i="7"/>
  <c r="C25" i="7"/>
  <c r="C24" i="7"/>
  <c r="C23" i="7"/>
  <c r="C22" i="7"/>
  <c r="C21" i="7"/>
  <c r="C20" i="7"/>
  <c r="C19" i="7"/>
  <c r="C18" i="7"/>
  <c r="C17" i="7"/>
  <c r="C16" i="7"/>
  <c r="C15" i="7"/>
  <c r="C14" i="7"/>
  <c r="C13" i="7"/>
  <c r="C12" i="7"/>
  <c r="C11" i="7"/>
  <c r="C10" i="7"/>
  <c r="C9" i="7"/>
  <c r="I33" i="7"/>
  <c r="I32" i="7"/>
  <c r="I31" i="7"/>
  <c r="I30" i="7"/>
  <c r="I29" i="7"/>
  <c r="I28" i="7"/>
  <c r="I27" i="7"/>
  <c r="I26" i="7"/>
  <c r="I25" i="7"/>
  <c r="I24" i="7"/>
  <c r="I23" i="7"/>
  <c r="I22" i="7"/>
  <c r="I21" i="7"/>
  <c r="I20" i="7"/>
  <c r="I19" i="7"/>
  <c r="I18" i="7"/>
  <c r="I17" i="7"/>
  <c r="I16" i="7"/>
  <c r="I15" i="7"/>
  <c r="I14" i="7"/>
  <c r="I13" i="7"/>
  <c r="I12" i="7"/>
  <c r="I11" i="7"/>
  <c r="I10" i="7"/>
  <c r="I9" i="7"/>
  <c r="C21" i="1"/>
  <c r="E43" i="9" l="1"/>
  <c r="E40" i="9"/>
  <c r="E39" i="9"/>
  <c r="E36" i="9"/>
  <c r="E35" i="9"/>
  <c r="E31" i="9"/>
  <c r="C10" i="1" l="1"/>
  <c r="E32" i="9"/>
  <c r="E28" i="9"/>
  <c r="E27" i="9"/>
  <c r="E24" i="9"/>
  <c r="E23" i="9"/>
  <c r="C19" i="9"/>
  <c r="C16" i="9"/>
  <c r="E11" i="9"/>
  <c r="E12" i="9"/>
  <c r="E13" i="9"/>
  <c r="E14" i="9"/>
  <c r="E10" i="9"/>
  <c r="E7" i="9"/>
  <c r="C6" i="9"/>
  <c r="C23" i="1" l="1"/>
  <c r="C15" i="4"/>
  <c r="C17" i="4" s="1"/>
  <c r="C24" i="4" s="1"/>
  <c r="C12" i="1"/>
  <c r="D21" i="2"/>
  <c r="C9" i="9" s="1"/>
  <c r="C26" i="1" l="1"/>
  <c r="C4" i="9" s="1"/>
</calcChain>
</file>

<file path=xl/sharedStrings.xml><?xml version="1.0" encoding="utf-8"?>
<sst xmlns="http://schemas.openxmlformats.org/spreadsheetml/2006/main" count="250" uniqueCount="145">
  <si>
    <t>Compensation Components</t>
  </si>
  <si>
    <t>Box</t>
  </si>
  <si>
    <t>Unadjusted Minimum Salary</t>
  </si>
  <si>
    <t>Salary Adjustment based on Cost of Housing in Your Community</t>
  </si>
  <si>
    <t>Section 3: Additional Compensation Added By Mutual Agreement</t>
  </si>
  <si>
    <t>Years of Related Non-Pastoral Experience</t>
  </si>
  <si>
    <t>Additional Degrees Beyond M Div: Number of Degrees</t>
  </si>
  <si>
    <t>Number of Staff Members Supervised</t>
  </si>
  <si>
    <t>Total Points (Max Points 10)</t>
  </si>
  <si>
    <t>Equity Allowance</t>
  </si>
  <si>
    <t>Reimbursable Expenses</t>
  </si>
  <si>
    <t>Continuing Education</t>
  </si>
  <si>
    <t>Books and Periodicals</t>
  </si>
  <si>
    <t>Synod Events</t>
  </si>
  <si>
    <t>Other</t>
  </si>
  <si>
    <t>Total Reimbursable Expenses</t>
  </si>
  <si>
    <t>Location</t>
  </si>
  <si>
    <t>Median</t>
  </si>
  <si>
    <t>Range</t>
  </si>
  <si>
    <t>Martinsville</t>
  </si>
  <si>
    <t>Marion</t>
  </si>
  <si>
    <t>Danville</t>
  </si>
  <si>
    <t>Petersburg</t>
  </si>
  <si>
    <t>Roanoke</t>
  </si>
  <si>
    <t>Abingdon</t>
  </si>
  <si>
    <t>Hampton</t>
  </si>
  <si>
    <t>Salem</t>
  </si>
  <si>
    <t>Waynesboro</t>
  </si>
  <si>
    <t>Staunton</t>
  </si>
  <si>
    <t>Norfolk</t>
  </si>
  <si>
    <t>New Market</t>
  </si>
  <si>
    <t>Woodstock</t>
  </si>
  <si>
    <t>Harrisonburg</t>
  </si>
  <si>
    <t>Palmyra</t>
  </si>
  <si>
    <t>Richmond</t>
  </si>
  <si>
    <t>Virginia Beach</t>
  </si>
  <si>
    <t>Winchester</t>
  </si>
  <si>
    <t>Fredericksburg</t>
  </si>
  <si>
    <t>Charlottesville</t>
  </si>
  <si>
    <t>Blacksburg</t>
  </si>
  <si>
    <t>Williamsburg</t>
  </si>
  <si>
    <t>Warrenton</t>
  </si>
  <si>
    <t>Median House Price</t>
  </si>
  <si>
    <t>Median allowance</t>
  </si>
  <si>
    <t>Lexington</t>
  </si>
  <si>
    <t>Section 2: Additional Compensation Added By Mutual Agreement</t>
  </si>
  <si>
    <t>Housing Allowance = 1% per month of the median house price multiplied by 12</t>
  </si>
  <si>
    <t>Section 3: Additional Parsonage Related Adjustment by Mutual Agreement</t>
  </si>
  <si>
    <t>Section 1: Unadjusted Minimum Compensation</t>
  </si>
  <si>
    <t>Adjusted Minimum Compensation</t>
  </si>
  <si>
    <t>Section 2: Housing Allowance</t>
  </si>
  <si>
    <t>Benefits</t>
  </si>
  <si>
    <t>Years of Experience</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</si>
  <si>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</si>
  <si>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</si>
  <si>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</si>
  <si>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</si>
  <si>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</si>
  <si>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</si>
  <si>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</si>
  <si>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</si>
  <si>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</si>
  <si>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</si>
  <si>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</si>
  <si>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</si>
  <si>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</si>
  <si>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</si>
  <si>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</si>
  <si>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</si>
  <si>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</si>
  <si>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</si>
  <si>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</si>
  <si>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</si>
  <si>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</si>
  <si>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</si>
  <si>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</si>
  <si>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</si>
  <si>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 +</t>
  </si>
  <si>
    <t>(See www.porticobenefits.org for details)</t>
  </si>
  <si>
    <t>Sundays</t>
  </si>
  <si>
    <t>Days/Weeks</t>
  </si>
  <si>
    <r>
      <t xml:space="preserve">Retirement </t>
    </r>
    <r>
      <rPr>
        <b/>
        <i/>
        <sz val="10"/>
        <color theme="1"/>
        <rFont val="Arial"/>
        <family val="2"/>
      </rPr>
      <t>(12% recommended)</t>
    </r>
  </si>
  <si>
    <r>
      <t xml:space="preserve">Healthcare </t>
    </r>
    <r>
      <rPr>
        <b/>
        <i/>
        <sz val="10"/>
        <color theme="1"/>
        <rFont val="Arial"/>
        <family val="2"/>
      </rPr>
      <t>(Gold + or Silver +)</t>
    </r>
  </si>
  <si>
    <t xml:space="preserve"> </t>
  </si>
  <si>
    <t>Notes</t>
  </si>
  <si>
    <t>Total of Boxes 1 and 4</t>
  </si>
  <si>
    <t>Boxes 6-8 to be Completed by Rostered Minister</t>
  </si>
  <si>
    <t>Suggested Additional Compensation</t>
  </si>
  <si>
    <t>Shows Total of Boxes 5 and 10</t>
  </si>
  <si>
    <t>Shows Total of Boxes 1, 6, and 7</t>
  </si>
  <si>
    <t>Minimun of $1000 Suggested</t>
  </si>
  <si>
    <t>Boxes 2-4 to be To Be Completed by Rostered Minister</t>
  </si>
  <si>
    <t>Section 4: Adjusted Compensation</t>
  </si>
  <si>
    <t>To begin, select either the Worksheet for a Housing Allowance or the Worksheet for a Parsonage.</t>
  </si>
  <si>
    <t>Once you complete the appropriate Comp Worksheet, Reimburseable Expenses, and Benefits tabs, go to the final tab titled, "Summary' to see all of the information in one tab that can be printed.</t>
  </si>
  <si>
    <t>Tabs are also provided to input agreed upon benefits, reimburseable expenses, and as a reference for the median cost of housing in some areas.</t>
  </si>
  <si>
    <t xml:space="preserve">Total Cost of Employment </t>
  </si>
  <si>
    <t xml:space="preserve">For Parsonage: Equity Allowance </t>
  </si>
  <si>
    <t>Totals</t>
  </si>
  <si>
    <t>Details</t>
  </si>
  <si>
    <t>Mileage</t>
  </si>
  <si>
    <r>
      <t xml:space="preserve">Adjusted Compensation </t>
    </r>
    <r>
      <rPr>
        <sz val="12"/>
        <color theme="1"/>
        <rFont val="Arial"/>
        <family val="2"/>
      </rPr>
      <t>(Housing)</t>
    </r>
  </si>
  <si>
    <r>
      <t xml:space="preserve">Adjusted Compensation </t>
    </r>
    <r>
      <rPr>
        <sz val="12"/>
        <color theme="1"/>
        <rFont val="Arial"/>
        <family val="2"/>
      </rPr>
      <t>(Parsonage)</t>
    </r>
  </si>
  <si>
    <t>Salary Adjustment based on Experience, Education, Complexity of Call (Multiply Box 9 by 500)</t>
  </si>
  <si>
    <t>Salary Adjustment based on Experience, Education, Complexity of Call (Multiply Box 5 by 500)</t>
  </si>
  <si>
    <r>
      <t xml:space="preserve">Vacation </t>
    </r>
    <r>
      <rPr>
        <i/>
        <sz val="10"/>
        <color theme="1"/>
        <rFont val="Arial"/>
        <family val="2"/>
      </rPr>
      <t>(4 weeks Recommended)</t>
    </r>
  </si>
  <si>
    <r>
      <t xml:space="preserve">Sick Leave </t>
    </r>
    <r>
      <rPr>
        <i/>
        <sz val="10"/>
        <color theme="1"/>
        <rFont val="Arial"/>
        <family val="2"/>
      </rPr>
      <t>(See Compensation Guidelines)</t>
    </r>
  </si>
  <si>
    <r>
      <t xml:space="preserve">Continuing Education </t>
    </r>
    <r>
      <rPr>
        <i/>
        <sz val="10"/>
        <color theme="1"/>
        <rFont val="Arial"/>
        <family val="2"/>
      </rPr>
      <t>(2 weeks recommended)</t>
    </r>
  </si>
  <si>
    <r>
      <t>Parental Leave</t>
    </r>
    <r>
      <rPr>
        <sz val="10"/>
        <color theme="1"/>
        <rFont val="Arial"/>
        <family val="2"/>
      </rPr>
      <t xml:space="preserve"> (12 weeks recommended)</t>
    </r>
  </si>
  <si>
    <t>Weeks</t>
  </si>
  <si>
    <r>
      <t xml:space="preserve">Family Leave </t>
    </r>
    <r>
      <rPr>
        <i/>
        <sz val="10"/>
        <color theme="1"/>
        <rFont val="Arial"/>
        <family val="2"/>
      </rPr>
      <t>(2 weeks recommended)</t>
    </r>
  </si>
  <si>
    <r>
      <rPr>
        <b/>
        <sz val="12"/>
        <color theme="1"/>
        <rFont val="Arial"/>
        <family val="2"/>
      </rPr>
      <t>Sabbatical Leave</t>
    </r>
    <r>
      <rPr>
        <sz val="11"/>
        <color theme="1"/>
        <rFont val="Arial"/>
        <family val="2"/>
      </rPr>
      <t xml:space="preserve"> </t>
    </r>
    <r>
      <rPr>
        <sz val="10"/>
        <color theme="1"/>
        <rFont val="Arial"/>
        <family val="2"/>
      </rPr>
      <t>(See Compensation Guidelines)</t>
    </r>
  </si>
  <si>
    <t>Weeks/Months</t>
  </si>
  <si>
    <r>
      <t>Sick Leave (</t>
    </r>
    <r>
      <rPr>
        <i/>
        <sz val="10"/>
        <color theme="1"/>
        <rFont val="Arial"/>
        <family val="2"/>
      </rPr>
      <t>See Compensation Guidelines)</t>
    </r>
  </si>
  <si>
    <t>Replace this number with the average house cost for your area</t>
  </si>
  <si>
    <t>Average Home Price in Virginia Synod (survey of 25 cities/towns in Synod)</t>
  </si>
  <si>
    <t>Average Home Price in Your Community</t>
  </si>
  <si>
    <t>The tabs below provide assistance in calculating compensation for Ministers of Word and Sacrament and Word and Service.</t>
  </si>
  <si>
    <t>Years of Related Non-Rostered Minister Experience</t>
  </si>
  <si>
    <t>Additional Degrees Beyond M Div/MAR: Number of Degrees</t>
  </si>
  <si>
    <t>Madison</t>
  </si>
  <si>
    <t>For Comparison</t>
  </si>
  <si>
    <t>2025 3% CC</t>
  </si>
  <si>
    <r>
      <t>F</t>
    </r>
    <r>
      <rPr>
        <b/>
        <sz val="11"/>
        <color theme="1"/>
        <rFont val="Calibri"/>
        <family val="2"/>
        <scheme val="minor"/>
      </rPr>
      <t>or Comparison</t>
    </r>
  </si>
  <si>
    <r>
      <rPr>
        <b/>
        <i/>
        <sz val="11"/>
        <color theme="1"/>
        <rFont val="Calibri"/>
        <family val="2"/>
        <scheme val="minor"/>
      </rPr>
      <t>Note</t>
    </r>
    <r>
      <rPr>
        <i/>
        <sz val="11"/>
        <color theme="1"/>
        <rFont val="Calibri"/>
        <family val="2"/>
        <scheme val="minor"/>
      </rPr>
      <t>: The guidelines offered her are based upong CASH COMPENSATION (CC), which consists of base salary, housing, and Self-Employment Tax (SET) compensation. The 2025 figures include the full SET amount of 15.3%.</t>
    </r>
  </si>
  <si>
    <t>Updated July 2024</t>
  </si>
  <si>
    <t>You will need the unadjusted minimum cash compensation number which can be found in the 2026 Cash Comp tabs.</t>
  </si>
  <si>
    <t>(Insert Amount from 2026 RM Cash Comp Housing or Deacon Tab)</t>
  </si>
  <si>
    <t>Insert Correct Amount from 2026 RM Cash Comp Housing  or Deacon Tab</t>
  </si>
  <si>
    <r>
      <t xml:space="preserve">Mileage </t>
    </r>
    <r>
      <rPr>
        <i/>
        <sz val="10"/>
        <color theme="1"/>
        <rFont val="Arial"/>
        <family val="2"/>
      </rPr>
      <t>(2025 Rate: 70 cents per mile)</t>
    </r>
  </si>
  <si>
    <t>(Insert Amount from 2026 RM Cash Comp Parsonage Tab)</t>
  </si>
  <si>
    <t>Insert Correct Amount from 2026 RM Cash Comp Parsonage Tab</t>
  </si>
  <si>
    <t xml:space="preserve">Healthcare </t>
  </si>
  <si>
    <t>2026 3% CC</t>
  </si>
  <si>
    <t>2026 5% CC</t>
  </si>
  <si>
    <t>2026 7% CC</t>
  </si>
  <si>
    <t>Appendix A2: 2026 Rostered Minister Minimum Salary Guidelines for Deacons</t>
  </si>
  <si>
    <t>*Note: Information from Zillow Home Values Tool accessed July 29, 2025 (https://www.zillow.com/roanoke-va/home-values/)</t>
  </si>
  <si>
    <t>Appendix A: 2026 Rostered Minister Cash Compensation Guidelines for Pastor with Housing Allowance</t>
  </si>
  <si>
    <r>
      <rPr>
        <b/>
        <sz val="11"/>
        <color theme="1"/>
        <rFont val="Calibri"/>
        <family val="2"/>
        <scheme val="minor"/>
      </rPr>
      <t>Note</t>
    </r>
    <r>
      <rPr>
        <sz val="11"/>
        <color theme="1"/>
        <rFont val="Calibri"/>
        <family val="2"/>
        <scheme val="minor"/>
      </rPr>
      <t xml:space="preserve">: The guidelines offer suggestions for a 3%, 5%, or 7% cost of living increase for 2026. </t>
    </r>
  </si>
  <si>
    <t>Appendix A1: 2026 Rostered Ministry Cash Compensation Guidelines for Pastor with Parsonage</t>
  </si>
  <si>
    <r>
      <rPr>
        <b/>
        <i/>
        <sz val="11"/>
        <color theme="1"/>
        <rFont val="Calibri"/>
        <family val="2"/>
        <scheme val="minor"/>
      </rPr>
      <t>Note</t>
    </r>
    <r>
      <rPr>
        <i/>
        <sz val="11"/>
        <color theme="1"/>
        <rFont val="Calibri"/>
        <family val="2"/>
        <scheme val="minor"/>
      </rPr>
      <t>: The guidelines offered her are based upong CASH COMPENSATION (CC), which consists of base salary, housing, and Self-Employment Tax (SET) compensation. The 2026 figures include the full SET amount of 15.3%.</t>
    </r>
  </si>
  <si>
    <r>
      <rPr>
        <b/>
        <sz val="11"/>
        <color theme="1"/>
        <rFont val="Calibri"/>
        <family val="2"/>
        <scheme val="minor"/>
      </rPr>
      <t>Note</t>
    </r>
    <r>
      <rPr>
        <sz val="11"/>
        <color theme="1"/>
        <rFont val="Calibri"/>
        <family val="2"/>
        <scheme val="minor"/>
      </rPr>
      <t>: The guidelines offer suggestions for a 3%, 5%, or 7% cost of living increase for 2026.</t>
    </r>
  </si>
  <si>
    <t xml:space="preserve">Note: The guidelines offer suggestions for a 3%, 5%, or 7% cost of living increase for 2026. </t>
  </si>
  <si>
    <r>
      <t xml:space="preserve">Welcome to the 2026 Compensation Workbook. </t>
    </r>
    <r>
      <rPr>
        <i/>
        <sz val="16"/>
        <color theme="1"/>
        <rFont val="Arial"/>
        <family val="2"/>
      </rPr>
      <t>(Updated August 7,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</si>
</sst>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8" x14ac:knownFonts="1">
    <font>
      <sz val="11"/>
      <color theme="1"/>
      <name val="Calibri"/>
      <family val="2"/>
      <scheme val="minor"/>
    </font>
    <font>
      <b/>
      <sz val="12"/>
      <color theme="1"/>
      <name val="Arial"/>
      <family val="2"/>
    </font>
    <font>
      <sz val="12"/>
      <color theme="1"/>
      <name val="Arial"/>
      <family val="2"/>
    </font>
    <font>
      <sz val="12"/>
      <color rgb="FF000000"/>
      <name val="Arial"/>
      <family val="2"/>
    </font>
    <font>
      <i/>
      <sz val="12"/>
      <color theme="1"/>
      <name val="Arial"/>
      <family val="2"/>
    </font>
    <font>
      <i/>
      <sz val="11"/>
      <color theme="1"/>
      <name val="Calibri"/>
      <family val="2"/>
      <scheme val="minor"/>
    </font>
    <font>
      <b/>
      <i/>
      <sz val="11"/>
      <color theme="1"/>
      <name val="Calibri"/>
      <family val="2"/>
      <scheme val="minor"/>
    </font>
    <font>
      <u/>
      <sz val="11"/>
      <color theme="10"/>
      <name val="Calibri"/>
      <family val="2"/>
      <scheme val="minor"/>
    </font>
    <font>
      <i/>
      <sz val="10"/>
      <color theme="1"/>
      <name val="Arial"/>
      <family val="2"/>
    </font>
    <font>
      <b/>
      <i/>
      <sz val="10"/>
      <color theme="1"/>
      <name val="Arial"/>
      <family val="2"/>
    </font>
    <font>
      <b/>
      <sz val="12"/>
      <color theme="0"/>
      <name val="Arial"/>
      <family val="2"/>
    </font>
    <font>
      <sz val="11"/>
      <color theme="1"/>
      <name val="Arial"/>
      <family val="2"/>
    </font>
    <font>
      <sz val="16"/>
      <color theme="1"/>
      <name val="Arial"/>
      <family val="2"/>
    </font>
    <font>
      <b/>
      <sz val="16"/>
      <color theme="1"/>
      <name val="Arial"/>
      <family val="2"/>
    </font>
    <font>
      <b/>
      <sz val="11"/>
      <color theme="1"/>
      <name val="Arial"/>
      <family val="2"/>
    </font>
    <font>
      <sz val="10"/>
      <color theme="1"/>
      <name val="Arial"/>
      <family val="2"/>
    </font>
    <font>
      <i/>
      <sz val="16"/>
      <color theme="1"/>
      <name val="Arial"/>
      <family val="2"/>
    </font>
    <font>
      <b/>
      <sz val="11"/>
      <color theme="1"/>
      <name val="Calibri"/>
      <family val="2"/>
      <scheme val="minor"/>
    </font>
  </fonts>
  <fills count="12">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2"/>
        <bgColor indexed="64"/>
      </patternFill>
    </fill>
    <fill>
      <patternFill patternType="solid">
        <fgColor theme="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8"/>
        <bgColor indexed="64"/>
      </patternFill>
    </fill>
    <fill>
      <patternFill patternType="solid">
        <fgColor theme="9" tint="-0.249977111117893"/>
        <bgColor indexed="64"/>
      </patternFill>
    </fill>
    <fill>
      <patternFill patternType="solid">
        <fgColor theme="7" tint="-0.499984740745262"/>
        <bgColor indexed="64"/>
      </patternFill>
    </fill>
    <fill>
      <patternFill patternType="solid">
        <fgColor theme="4" tint="-0.249977111117893"/>
        <bgColor indexed="64"/>
      </patternFill>
    </fill>
  </fills>
  <borders count="31">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000000"/>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style="medium">
        <color indexed="64"/>
      </left>
      <right style="medium">
        <color indexed="64"/>
      </right>
      <top style="medium">
        <color indexed="64"/>
      </top>
      <bottom style="medium">
        <color indexed="64"/>
      </bottom>
      <diagonal/>
    </border>
    <border>
      <left style="medium">
        <color rgb="FFCCCCCC"/>
      </left>
      <right style="medium">
        <color rgb="FFCCCCCC"/>
      </right>
      <top style="medium">
        <color rgb="FFCCCCCC"/>
      </top>
      <bottom style="thick">
        <color theme="9"/>
      </bottom>
      <diagonal/>
    </border>
    <border>
      <left style="thick">
        <color theme="9"/>
      </left>
      <right/>
      <top/>
      <bottom/>
      <diagonal/>
    </border>
    <border>
      <left style="medium">
        <color rgb="FFCCCCCC"/>
      </left>
      <right style="medium">
        <color rgb="FFCCCCCC"/>
      </right>
      <top style="thick">
        <color theme="9"/>
      </top>
      <bottom style="medium">
        <color rgb="FFCCCCCC"/>
      </bottom>
      <diagonal/>
    </border>
    <border>
      <left style="thick">
        <color theme="9"/>
      </left>
      <right style="thick">
        <color theme="9"/>
      </right>
      <top style="thick">
        <color theme="9"/>
      </top>
      <bottom style="thick">
        <color theme="9"/>
      </bottom>
      <diagonal/>
    </border>
    <border>
      <left style="medium">
        <color rgb="FFCCCCCC"/>
      </left>
      <right style="thick">
        <color theme="9"/>
      </right>
      <top style="medium">
        <color rgb="FFCCCCCC"/>
      </top>
      <bottom style="medium">
        <color rgb="FFCCCCCC"/>
      </bottom>
      <diagonal/>
    </border>
    <border>
      <left style="medium">
        <color rgb="FFCCCCCC"/>
      </left>
      <right style="medium">
        <color rgb="FFCCCCCC"/>
      </right>
      <top style="thin">
        <color indexed="64"/>
      </top>
      <bottom style="medium">
        <color rgb="FFCCCCCC"/>
      </bottom>
      <diagonal/>
    </border>
    <border>
      <left style="thin">
        <color indexed="64"/>
      </left>
      <right style="thick">
        <color theme="9"/>
      </right>
      <top style="thin">
        <color indexed="64"/>
      </top>
      <bottom/>
      <diagonal/>
    </border>
    <border>
      <left style="thick">
        <color theme="9"/>
      </left>
      <right style="medium">
        <color rgb="FFCCCCCC"/>
      </right>
      <top style="medium">
        <color rgb="FFCCCCCC"/>
      </top>
      <bottom style="medium">
        <color rgb="FFCCCCCC"/>
      </bottom>
      <diagonal/>
    </border>
    <border>
      <left/>
      <right/>
      <top/>
      <bottom style="thick">
        <color theme="9"/>
      </bottom>
      <diagonal/>
    </border>
    <border>
      <left/>
      <right style="thick">
        <color theme="9"/>
      </right>
      <top/>
      <bottom/>
      <diagonal/>
    </border>
    <border>
      <left/>
      <right style="thick">
        <color theme="9"/>
      </right>
      <top style="thick">
        <color theme="9"/>
      </top>
      <bottom style="thick">
        <color theme="9"/>
      </bottom>
      <diagonal/>
    </border>
    <border>
      <left/>
      <right/>
      <top style="thick">
        <color theme="9"/>
      </top>
      <bottom style="thick">
        <color indexed="64"/>
      </bottom>
      <diagonal/>
    </border>
    <border>
      <left/>
      <right style="thick">
        <color indexed="64"/>
      </right>
      <top style="thick">
        <color indexed="64"/>
      </top>
      <bottom style="thick">
        <color indexed="64"/>
      </bottom>
      <diagonal/>
    </border>
    <border>
      <left/>
      <right style="thick">
        <color indexed="64"/>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bottom style="medium">
        <color indexed="64"/>
      </bottom>
      <diagonal/>
    </border>
    <border>
      <left style="thin">
        <color indexed="64"/>
      </left>
      <right style="thin">
        <color indexed="64"/>
      </right>
      <top style="thick">
        <color theme="9"/>
      </top>
      <bottom style="thin">
        <color indexed="64"/>
      </bottom>
      <diagonal/>
    </border>
    <border>
      <left style="thin">
        <color indexed="64"/>
      </left>
      <right style="thin">
        <color indexed="64"/>
      </right>
      <top style="thin">
        <color indexed="64"/>
      </top>
      <bottom style="thick">
        <color theme="9"/>
      </bottom>
      <diagonal/>
    </border>
    <border>
      <left style="thick">
        <color theme="9"/>
      </left>
      <right style="thick">
        <color theme="9"/>
      </right>
      <top/>
      <bottom/>
      <diagonal/>
    </border>
    <border>
      <left style="thin">
        <color indexed="64"/>
      </left>
      <right style="thick">
        <color theme="9"/>
      </right>
      <top style="thin">
        <color indexed="64"/>
      </top>
      <bottom style="thin">
        <color indexed="64"/>
      </bottom>
      <diagonal/>
    </border>
    <border>
      <left style="medium">
        <color rgb="FFCCCCCC"/>
      </left>
      <right style="medium">
        <color rgb="FFCCCCCC"/>
      </right>
      <top/>
      <bottom/>
      <diagonal/>
    </border>
  </borders>
  <cellStyleXfs count="2">
    <xf numFmtId="0" fontId="0" fillId="0" borderId="0"/>
    <xf numFmtId="0" fontId="7" fillId="0" borderId="0" applyNumberFormat="0" applyFill="0" applyBorder="0" applyAlignment="0" applyProtection="0"/>
  </cellStyleXfs>
  <cellXfs count="81">
    <xf numFmtId="0" fontId="0" fillId="0" borderId="0" xfId="0"/>
    <xf numFmtId="0" fontId="0" fillId="0" borderId="1" xfId="0" applyBorder="1" applyAlignment="1">
      <alignment wrapText="1"/>
    </xf>
    <xf numFmtId="0" fontId="0" fillId="0" borderId="1" xfId="0" applyBorder="1" applyAlignment="1">
      <alignment vertical="center"/>
    </xf>
    <xf numFmtId="0" fontId="1" fillId="0" borderId="1" xfId="0" applyFont="1" applyBorder="1" applyAlignment="1">
      <alignment wrapText="1"/>
    </xf>
    <xf numFmtId="0" fontId="2" fillId="0" borderId="1" xfId="0" applyFont="1" applyBorder="1" applyAlignment="1">
      <alignment wrapText="1"/>
    </xf>
    <xf numFmtId="0" fontId="2" fillId="0" borderId="1" xfId="0" applyFont="1" applyBorder="1" applyAlignment="1">
      <alignment horizontal="right" wrapText="1"/>
    </xf>
    <xf numFmtId="0" fontId="2" fillId="0" borderId="5" xfId="0" applyFont="1" applyBorder="1" applyAlignment="1">
      <alignment wrapText="1"/>
    </xf>
    <xf numFmtId="0" fontId="2" fillId="0" borderId="6" xfId="0" applyFont="1" applyBorder="1" applyAlignment="1">
      <alignment vertical="center"/>
    </xf>
    <xf numFmtId="0" fontId="2" fillId="0" borderId="1" xfId="0" applyFont="1" applyBorder="1" applyAlignment="1">
      <alignment vertical="center"/>
    </xf>
    <xf numFmtId="9" fontId="2" fillId="0" borderId="1" xfId="0" applyNumberFormat="1" applyFont="1" applyBorder="1" applyAlignment="1">
      <alignment horizontal="right" wrapText="1"/>
    </xf>
    <xf numFmtId="0" fontId="1" fillId="0" borderId="0" xfId="0" applyFont="1"/>
    <xf numFmtId="0" fontId="2" fillId="0" borderId="0" xfId="0" applyFont="1"/>
    <xf numFmtId="0" fontId="4" fillId="0" borderId="1" xfId="0" applyFont="1" applyBorder="1" applyAlignment="1">
      <alignment wrapText="1"/>
    </xf>
    <xf numFmtId="0" fontId="3" fillId="0" borderId="1" xfId="0" applyFont="1" applyBorder="1" applyAlignment="1">
      <alignment wrapText="1"/>
    </xf>
    <xf numFmtId="0" fontId="3" fillId="0" borderId="1" xfId="0" applyFont="1" applyBorder="1" applyAlignment="1">
      <alignment horizontal="right" wrapText="1"/>
    </xf>
    <xf numFmtId="0" fontId="2" fillId="0" borderId="2" xfId="0" applyFont="1" applyBorder="1" applyAlignment="1">
      <alignment wrapText="1"/>
    </xf>
    <xf numFmtId="0" fontId="2" fillId="0" borderId="7" xfId="0" applyFont="1" applyBorder="1" applyAlignment="1">
      <alignment wrapText="1"/>
    </xf>
    <xf numFmtId="0" fontId="2" fillId="0" borderId="8" xfId="0" applyFont="1" applyBorder="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2" fillId="0" borderId="2" xfId="0" applyFont="1" applyBorder="1" applyAlignment="1">
      <alignment horizontal="right" wrapText="1"/>
    </xf>
    <xf numFmtId="0" fontId="2" fillId="0" borderId="4" xfId="0" applyFont="1" applyBorder="1" applyAlignment="1">
      <alignment wrapText="1"/>
    </xf>
    <xf numFmtId="0" fontId="2" fillId="0" borderId="7" xfId="0" applyFont="1" applyBorder="1" applyAlignment="1">
      <alignment vertical="center"/>
    </xf>
    <xf numFmtId="0" fontId="3" fillId="0" borderId="2" xfId="0" applyFont="1" applyBorder="1" applyAlignment="1">
      <alignment horizontal="right" wrapText="1"/>
    </xf>
    <xf numFmtId="0" fontId="2" fillId="0" borderId="0" xfId="0" applyFont="1" applyAlignment="1">
      <alignment wrapText="1"/>
    </xf>
    <xf numFmtId="0" fontId="2" fillId="0" borderId="10" xfId="0" applyFont="1" applyBorder="1" applyAlignment="1">
      <alignment wrapText="1"/>
    </xf>
    <xf numFmtId="0" fontId="0" fillId="0" borderId="11" xfId="0" applyBorder="1"/>
    <xf numFmtId="0" fontId="2" fillId="0" borderId="12" xfId="0" applyFont="1" applyBorder="1" applyAlignment="1">
      <alignment wrapText="1"/>
    </xf>
    <xf numFmtId="0" fontId="3" fillId="0" borderId="14" xfId="0" applyFont="1" applyBorder="1" applyAlignment="1">
      <alignment horizontal="right" wrapText="1"/>
    </xf>
    <xf numFmtId="0" fontId="3" fillId="0" borderId="12" xfId="0" applyFont="1" applyBorder="1" applyAlignment="1">
      <alignment horizontal="right" wrapText="1"/>
    </xf>
    <xf numFmtId="0" fontId="2" fillId="3" borderId="16" xfId="0" applyFont="1" applyFill="1" applyBorder="1" applyAlignment="1">
      <alignment horizontal="right" wrapText="1"/>
    </xf>
    <xf numFmtId="0" fontId="2" fillId="0" borderId="15" xfId="0" applyFont="1" applyBorder="1" applyAlignment="1">
      <alignment wrapText="1"/>
    </xf>
    <xf numFmtId="0" fontId="2" fillId="0" borderId="9" xfId="0" applyFont="1" applyBorder="1" applyAlignment="1">
      <alignment wrapText="1"/>
    </xf>
    <xf numFmtId="0" fontId="2" fillId="0" borderId="9" xfId="0" applyFont="1" applyBorder="1" applyAlignment="1">
      <alignment horizontal="right" wrapText="1"/>
    </xf>
    <xf numFmtId="0" fontId="2" fillId="0" borderId="17" xfId="0" applyFont="1" applyBorder="1" applyAlignment="1">
      <alignment wrapText="1"/>
    </xf>
    <xf numFmtId="0" fontId="2" fillId="0" borderId="14" xfId="0" applyFont="1" applyBorder="1" applyAlignment="1">
      <alignment horizontal="right" wrapText="1"/>
    </xf>
    <xf numFmtId="0" fontId="3" fillId="0" borderId="8" xfId="0" applyFont="1" applyBorder="1" applyAlignment="1">
      <alignment horizontal="right" wrapText="1"/>
    </xf>
    <xf numFmtId="0" fontId="5" fillId="0" borderId="0" xfId="0" applyFont="1"/>
    <xf numFmtId="0" fontId="1" fillId="4" borderId="0" xfId="0" applyFont="1" applyFill="1"/>
    <xf numFmtId="0" fontId="2" fillId="0" borderId="18" xfId="0" applyFont="1" applyBorder="1"/>
    <xf numFmtId="0" fontId="2" fillId="0" borderId="19" xfId="0" applyFont="1" applyBorder="1"/>
    <xf numFmtId="0" fontId="2" fillId="0" borderId="21" xfId="0" applyFont="1" applyBorder="1"/>
    <xf numFmtId="0" fontId="2" fillId="0" borderId="22" xfId="0" applyFont="1" applyBorder="1"/>
    <xf numFmtId="0" fontId="2" fillId="0" borderId="23" xfId="0" applyFont="1" applyBorder="1"/>
    <xf numFmtId="6" fontId="2" fillId="0" borderId="9" xfId="0" applyNumberFormat="1" applyFont="1" applyBorder="1" applyAlignment="1">
      <alignment horizontal="right" wrapText="1"/>
    </xf>
    <xf numFmtId="6" fontId="3" fillId="2" borderId="9" xfId="0" applyNumberFormat="1" applyFont="1" applyFill="1" applyBorder="1" applyAlignment="1">
      <alignment horizontal="right" wrapText="1"/>
    </xf>
    <xf numFmtId="0" fontId="7" fillId="0" borderId="0" xfId="1"/>
    <xf numFmtId="0" fontId="0" fillId="0" borderId="18" xfId="0" applyBorder="1"/>
    <xf numFmtId="0" fontId="0" fillId="0" borderId="19" xfId="0" applyBorder="1"/>
    <xf numFmtId="0" fontId="2" fillId="0" borderId="25" xfId="0" applyFont="1" applyBorder="1" applyAlignment="1">
      <alignment wrapText="1"/>
    </xf>
    <xf numFmtId="0" fontId="0" fillId="0" borderId="4" xfId="0" applyBorder="1" applyAlignment="1">
      <alignment wrapText="1"/>
    </xf>
    <xf numFmtId="0" fontId="2" fillId="0" borderId="24" xfId="0" applyFont="1" applyBorder="1" applyAlignment="1">
      <alignment wrapText="1"/>
    </xf>
    <xf numFmtId="0" fontId="2" fillId="0" borderId="26" xfId="0" applyFont="1" applyBorder="1" applyAlignment="1">
      <alignment horizontal="right" wrapText="1"/>
    </xf>
    <xf numFmtId="0" fontId="2" fillId="0" borderId="27" xfId="0" applyFont="1" applyBorder="1" applyAlignment="1">
      <alignment horizontal="right" wrapText="1"/>
    </xf>
    <xf numFmtId="0" fontId="2" fillId="6" borderId="13" xfId="0" applyFont="1" applyFill="1" applyBorder="1" applyAlignment="1">
      <alignment horizontal="right" wrapText="1"/>
    </xf>
    <xf numFmtId="0" fontId="2" fillId="6" borderId="28" xfId="0" applyFont="1" applyFill="1" applyBorder="1" applyAlignment="1">
      <alignment wrapText="1"/>
    </xf>
    <xf numFmtId="0" fontId="2" fillId="6" borderId="13" xfId="0" applyFont="1" applyFill="1" applyBorder="1" applyAlignment="1">
      <alignment wrapText="1"/>
    </xf>
    <xf numFmtId="0" fontId="2" fillId="6" borderId="13" xfId="0" applyFont="1" applyFill="1" applyBorder="1"/>
    <xf numFmtId="0" fontId="2" fillId="6" borderId="20" xfId="0" applyFont="1" applyFill="1" applyBorder="1"/>
    <xf numFmtId="0" fontId="0" fillId="6" borderId="20" xfId="0" applyFill="1" applyBorder="1"/>
    <xf numFmtId="0" fontId="2" fillId="0" borderId="11" xfId="0" applyFont="1" applyBorder="1"/>
    <xf numFmtId="0" fontId="2" fillId="7" borderId="0" xfId="0" applyFont="1" applyFill="1"/>
    <xf numFmtId="0" fontId="2" fillId="6" borderId="0" xfId="0" applyFont="1" applyFill="1"/>
    <xf numFmtId="0" fontId="2" fillId="3" borderId="29" xfId="0" applyFont="1" applyFill="1" applyBorder="1" applyAlignment="1">
      <alignment horizontal="right" wrapText="1"/>
    </xf>
    <xf numFmtId="0" fontId="2" fillId="0" borderId="30" xfId="0" applyFont="1" applyBorder="1" applyAlignment="1">
      <alignment wrapText="1"/>
    </xf>
    <xf numFmtId="0" fontId="12" fillId="0" borderId="0" xfId="0" applyFont="1"/>
    <xf numFmtId="0" fontId="11" fillId="0" borderId="0" xfId="0" applyFont="1"/>
    <xf numFmtId="0" fontId="13" fillId="0" borderId="0" xfId="0" applyFont="1"/>
    <xf numFmtId="0" fontId="14" fillId="0" borderId="0" xfId="0" applyFont="1"/>
    <xf numFmtId="0" fontId="10" fillId="8" borderId="0" xfId="0" applyFont="1" applyFill="1"/>
    <xf numFmtId="0" fontId="10" fillId="9" borderId="0" xfId="0" applyFont="1" applyFill="1"/>
    <xf numFmtId="0" fontId="10" fillId="10" borderId="0" xfId="0" applyFont="1" applyFill="1"/>
    <xf numFmtId="0" fontId="10" fillId="11" borderId="0" xfId="0" applyFont="1" applyFill="1"/>
    <xf numFmtId="0" fontId="6" fillId="0" borderId="0" xfId="0" applyFont="1"/>
    <xf numFmtId="9" fontId="0" fillId="0" borderId="0" xfId="0" applyNumberFormat="1"/>
    <xf numFmtId="0" fontId="17" fillId="0" borderId="0" xfId="0" applyFont="1"/>
    <xf numFmtId="3" fontId="2" fillId="0" borderId="0" xfId="0" applyNumberFormat="1" applyFont="1"/>
    <xf numFmtId="3" fontId="2" fillId="7" borderId="0" xfId="0" applyNumberFormat="1" applyFont="1" applyFill="1"/>
    <xf numFmtId="3" fontId="0" fillId="0" borderId="0" xfId="0" applyNumberFormat="1"/>
    <xf numFmtId="0" fontId="3" fillId="0" borderId="3" xfId="0" applyFont="1" applyBorder="1" applyAlignment="1">
      <alignment wrapText="1"/>
    </xf>
    <xf numFmtId="0" fontId="3" fillId="0" borderId="4" xfId="0" applyFont="1" applyBorder="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201930</xdr:colOff>
      <xdr:row>2</xdr:row>
      <xdr:rowOff>82186</xdr:rowOff>
    </xdr:from>
    <xdr:to>
      <xdr:col>7</xdr:col>
      <xdr:colOff>131445</xdr:colOff>
      <xdr:row>9</xdr:row>
      <xdr:rowOff>47839</xdr:rowOff>
    </xdr:to>
    <xdr:pic>
      <xdr:nvPicPr>
        <xdr:cNvPr id="3" name="Picture 2">
          <a:extLst>
            <a:ext uri="{FF2B5EF4-FFF2-40B4-BE49-F238E27FC236}">
              <a16:creationId xmlns:a16="http://schemas.microsoft.com/office/drawing/2014/main" id="{5DD5A816-2327-4F7B-8B20-81D879E3AB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01930" y="520336"/>
          <a:ext cx="4196715" cy="1461078"/>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82591-CCEE-4C5C-B3A3-DC5A608783A3}">
  <dimension ref="A2:I12"/>
  <sheetViews>
    <sheetView tabSelected="1" workbookViewId="0">
      <selection activeCell="J18" sqref="J18"/>
    </sheetView>
  </sheetViews>
  <sheetFormatPr defaultRowHeight="14.4" x14ac:dyDescent="0.3"/>
  <sheetData>
    <row r="2" spans="1:9" ht="20.399999999999999" x14ac:dyDescent="0.35">
      <c r="I2" s="65" t="s">
        <v>144</v>
      </c>
    </row>
    <row r="4" spans="1:9" ht="20.399999999999999" x14ac:dyDescent="0.35">
      <c r="I4" s="65" t="s">
        <v>117</v>
      </c>
    </row>
    <row r="5" spans="1:9" x14ac:dyDescent="0.3">
      <c r="I5" s="66" t="s">
        <v>83</v>
      </c>
    </row>
    <row r="6" spans="1:9" ht="20.399999999999999" x14ac:dyDescent="0.35">
      <c r="I6" s="65" t="s">
        <v>93</v>
      </c>
    </row>
    <row r="8" spans="1:9" ht="20.399999999999999" x14ac:dyDescent="0.35">
      <c r="I8" s="65" t="s">
        <v>126</v>
      </c>
    </row>
    <row r="10" spans="1:9" ht="20.399999999999999" x14ac:dyDescent="0.35">
      <c r="I10" s="65" t="s">
        <v>95</v>
      </c>
    </row>
    <row r="12" spans="1:9" ht="20.399999999999999" x14ac:dyDescent="0.35">
      <c r="A12" s="65" t="s">
        <v>94</v>
      </c>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6EFA4-4FB9-44BD-BADF-8B941FC479D0}">
  <dimension ref="A1:E43"/>
  <sheetViews>
    <sheetView workbookViewId="0">
      <selection activeCell="H29" sqref="H29"/>
    </sheetView>
  </sheetViews>
  <sheetFormatPr defaultRowHeight="14.4" x14ac:dyDescent="0.3"/>
  <cols>
    <col min="1" max="1" width="46.21875" bestFit="1" customWidth="1"/>
  </cols>
  <sheetData>
    <row r="1" spans="1:5" ht="21" x14ac:dyDescent="0.4">
      <c r="A1" s="67" t="s">
        <v>96</v>
      </c>
      <c r="C1" s="10" t="s">
        <v>98</v>
      </c>
      <c r="E1" s="10" t="s">
        <v>99</v>
      </c>
    </row>
    <row r="4" spans="1:5" ht="15.6" x14ac:dyDescent="0.3">
      <c r="A4" s="10" t="s">
        <v>101</v>
      </c>
      <c r="C4">
        <f>'Comp Worksheet with Housing'!C26</f>
        <v>0</v>
      </c>
    </row>
    <row r="6" spans="1:5" ht="15.6" x14ac:dyDescent="0.3">
      <c r="A6" s="10" t="s">
        <v>102</v>
      </c>
      <c r="C6">
        <f>'Comp Worksheet with Parsonage'!C24</f>
        <v>0</v>
      </c>
    </row>
    <row r="7" spans="1:5" ht="15.6" x14ac:dyDescent="0.3">
      <c r="A7" s="11" t="s">
        <v>97</v>
      </c>
      <c r="E7">
        <f>'Comp Worksheet with Parsonage'!C21</f>
        <v>0</v>
      </c>
    </row>
    <row r="9" spans="1:5" ht="15.6" x14ac:dyDescent="0.3">
      <c r="A9" s="10" t="s">
        <v>15</v>
      </c>
      <c r="C9">
        <f>'Reimbursable Expenses Worksheet'!D21</f>
        <v>0</v>
      </c>
    </row>
    <row r="10" spans="1:5" ht="15.6" x14ac:dyDescent="0.3">
      <c r="A10" s="11" t="s">
        <v>100</v>
      </c>
      <c r="E10">
        <f>'Reimbursable Expenses Worksheet'!D15</f>
        <v>0</v>
      </c>
    </row>
    <row r="11" spans="1:5" ht="15.6" x14ac:dyDescent="0.3">
      <c r="A11" s="11" t="s">
        <v>11</v>
      </c>
      <c r="E11">
        <f>'Reimbursable Expenses Worksheet'!D16</f>
        <v>0</v>
      </c>
    </row>
    <row r="12" spans="1:5" ht="15.6" x14ac:dyDescent="0.3">
      <c r="A12" s="11" t="s">
        <v>12</v>
      </c>
      <c r="E12">
        <f>'Reimbursable Expenses Worksheet'!D17</f>
        <v>0</v>
      </c>
    </row>
    <row r="13" spans="1:5" ht="15.6" x14ac:dyDescent="0.3">
      <c r="A13" s="11" t="s">
        <v>13</v>
      </c>
      <c r="E13">
        <f>'Reimbursable Expenses Worksheet'!D18</f>
        <v>0</v>
      </c>
    </row>
    <row r="14" spans="1:5" ht="15.6" x14ac:dyDescent="0.3">
      <c r="A14" s="11" t="s">
        <v>14</v>
      </c>
      <c r="E14">
        <f>'Reimbursable Expenses Worksheet'!D19</f>
        <v>0</v>
      </c>
    </row>
    <row r="16" spans="1:5" ht="15.6" x14ac:dyDescent="0.3">
      <c r="A16" s="10" t="s">
        <v>81</v>
      </c>
      <c r="C16">
        <f>Benefits!E3</f>
        <v>0</v>
      </c>
    </row>
    <row r="17" spans="1:5" x14ac:dyDescent="0.3">
      <c r="A17" s="46" t="s">
        <v>78</v>
      </c>
    </row>
    <row r="18" spans="1:5" ht="15.6" x14ac:dyDescent="0.3">
      <c r="A18" s="11"/>
    </row>
    <row r="19" spans="1:5" ht="15.6" x14ac:dyDescent="0.3">
      <c r="A19" s="10" t="s">
        <v>82</v>
      </c>
      <c r="C19">
        <f>Benefits!E6</f>
        <v>0</v>
      </c>
    </row>
    <row r="20" spans="1:5" x14ac:dyDescent="0.3">
      <c r="A20" s="46" t="s">
        <v>78</v>
      </c>
    </row>
    <row r="21" spans="1:5" ht="15.6" x14ac:dyDescent="0.3">
      <c r="A21" s="11"/>
    </row>
    <row r="22" spans="1:5" ht="15.6" x14ac:dyDescent="0.3">
      <c r="A22" s="10" t="s">
        <v>105</v>
      </c>
    </row>
    <row r="23" spans="1:5" ht="15.6" x14ac:dyDescent="0.3">
      <c r="A23" s="11" t="s">
        <v>80</v>
      </c>
      <c r="E23">
        <f>Benefits!E10</f>
        <v>0</v>
      </c>
    </row>
    <row r="24" spans="1:5" ht="15.6" x14ac:dyDescent="0.3">
      <c r="A24" s="11" t="s">
        <v>79</v>
      </c>
      <c r="E24">
        <f>Benefits!E11</f>
        <v>0</v>
      </c>
    </row>
    <row r="25" spans="1:5" ht="15.6" x14ac:dyDescent="0.3">
      <c r="A25" s="11"/>
    </row>
    <row r="26" spans="1:5" ht="15.6" x14ac:dyDescent="0.3">
      <c r="A26" s="10" t="s">
        <v>113</v>
      </c>
    </row>
    <row r="27" spans="1:5" ht="15.6" x14ac:dyDescent="0.3">
      <c r="A27" s="11" t="s">
        <v>80</v>
      </c>
      <c r="E27">
        <f>Benefits!E14</f>
        <v>0</v>
      </c>
    </row>
    <row r="28" spans="1:5" ht="15.6" x14ac:dyDescent="0.3">
      <c r="A28" s="11" t="s">
        <v>79</v>
      </c>
      <c r="E28">
        <f>Benefits!E15</f>
        <v>0</v>
      </c>
    </row>
    <row r="29" spans="1:5" ht="15.6" x14ac:dyDescent="0.3">
      <c r="A29" s="11"/>
    </row>
    <row r="30" spans="1:5" ht="15.6" x14ac:dyDescent="0.3">
      <c r="A30" s="10" t="s">
        <v>107</v>
      </c>
    </row>
    <row r="31" spans="1:5" ht="15.6" x14ac:dyDescent="0.3">
      <c r="A31" s="11" t="s">
        <v>80</v>
      </c>
      <c r="E31">
        <f>Benefits!E18</f>
        <v>0</v>
      </c>
    </row>
    <row r="32" spans="1:5" ht="15.6" x14ac:dyDescent="0.3">
      <c r="A32" s="11" t="s">
        <v>79</v>
      </c>
      <c r="E32">
        <f>Benefits!E19</f>
        <v>0</v>
      </c>
    </row>
    <row r="34" spans="1:5" ht="15.6" x14ac:dyDescent="0.3">
      <c r="A34" s="10" t="s">
        <v>108</v>
      </c>
    </row>
    <row r="35" spans="1:5" ht="15.6" x14ac:dyDescent="0.3">
      <c r="A35" s="11" t="s">
        <v>109</v>
      </c>
      <c r="E35">
        <f>Benefits!E22</f>
        <v>0</v>
      </c>
    </row>
    <row r="36" spans="1:5" ht="15.6" x14ac:dyDescent="0.3">
      <c r="A36" s="11" t="s">
        <v>79</v>
      </c>
      <c r="E36">
        <f>Benefits!E23</f>
        <v>0</v>
      </c>
    </row>
    <row r="38" spans="1:5" ht="15.6" x14ac:dyDescent="0.3">
      <c r="A38" s="10" t="s">
        <v>110</v>
      </c>
    </row>
    <row r="39" spans="1:5" ht="15.6" x14ac:dyDescent="0.3">
      <c r="A39" s="11" t="s">
        <v>109</v>
      </c>
      <c r="E39">
        <f>Benefits!E26</f>
        <v>0</v>
      </c>
    </row>
    <row r="40" spans="1:5" ht="15.6" x14ac:dyDescent="0.3">
      <c r="A40" s="11" t="s">
        <v>79</v>
      </c>
      <c r="E40">
        <f>Benefits!E27</f>
        <v>0</v>
      </c>
    </row>
    <row r="42" spans="1:5" ht="15.6" x14ac:dyDescent="0.3">
      <c r="A42" s="66" t="s">
        <v>111</v>
      </c>
    </row>
    <row r="43" spans="1:5" ht="15.6" x14ac:dyDescent="0.3">
      <c r="A43" s="11" t="s">
        <v>112</v>
      </c>
      <c r="E43">
        <f>Benefits!E30</f>
        <v>0</v>
      </c>
    </row>
  </sheetData>
  <hyperlinks>
    <hyperlink ref="A20" r:id="rId1" xr:uid="{86491E7D-DC7D-4553-8859-093C7E958FCC}"/>
    <hyperlink ref="A17" r:id="rId2" xr:uid="{4634026B-5A5A-4F18-AEB1-1EBB0F59F4AD}"/>
  </hyperlinks>
  <pageMargins left="0.7" right="0.7" top="0.75" bottom="0.75" header="0.3" footer="0.3"/>
  <pageSetup orientation="portrait"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D96C8-34FE-46C3-9A39-1815908BB838}">
  <dimension ref="A1:N28"/>
  <sheetViews>
    <sheetView zoomScaleNormal="100" workbookViewId="0">
      <selection activeCell="C15" sqref="C15"/>
    </sheetView>
  </sheetViews>
  <sheetFormatPr defaultRowHeight="14.4" x14ac:dyDescent="0.3"/>
  <cols>
    <col min="1" max="1" width="76.77734375" customWidth="1"/>
    <col min="3" max="3" width="10" customWidth="1"/>
    <col min="4" max="4" width="72.109375" customWidth="1"/>
  </cols>
  <sheetData>
    <row r="1" spans="1:14" ht="16.2" thickBot="1" x14ac:dyDescent="0.35">
      <c r="A1" s="18" t="s">
        <v>0</v>
      </c>
      <c r="B1" s="18" t="s">
        <v>1</v>
      </c>
      <c r="C1" s="18"/>
      <c r="D1" s="3" t="s">
        <v>84</v>
      </c>
      <c r="E1" s="4"/>
      <c r="F1" s="4"/>
      <c r="G1" s="1"/>
      <c r="H1" s="1"/>
      <c r="I1" s="1"/>
      <c r="J1" s="1"/>
      <c r="K1" s="1"/>
      <c r="L1" s="1"/>
      <c r="M1" s="1"/>
      <c r="N1" s="1"/>
    </row>
    <row r="2" spans="1:14" ht="16.2" thickBot="1" x14ac:dyDescent="0.35">
      <c r="A2" s="4"/>
      <c r="B2" s="4"/>
      <c r="C2" s="4"/>
      <c r="D2" s="4"/>
      <c r="E2" s="4"/>
      <c r="F2" s="4"/>
      <c r="G2" s="1"/>
      <c r="H2" s="1"/>
      <c r="I2" s="1"/>
      <c r="J2" s="1"/>
      <c r="K2" s="1"/>
      <c r="L2" s="1"/>
      <c r="M2" s="1"/>
      <c r="N2" s="1"/>
    </row>
    <row r="3" spans="1:14" ht="16.2" thickBot="1" x14ac:dyDescent="0.35">
      <c r="A3" s="18" t="s">
        <v>48</v>
      </c>
      <c r="B3" s="16"/>
      <c r="C3" s="25"/>
      <c r="D3" s="4"/>
      <c r="E3" s="4"/>
      <c r="F3" s="4"/>
      <c r="G3" s="1"/>
      <c r="H3" s="1"/>
      <c r="I3" s="1"/>
      <c r="J3" s="1"/>
      <c r="K3" s="1"/>
      <c r="L3" s="1"/>
      <c r="M3" s="1"/>
      <c r="N3" s="1"/>
    </row>
    <row r="4" spans="1:14" ht="31.2" thickBot="1" x14ac:dyDescent="0.35">
      <c r="A4" s="15" t="s">
        <v>2</v>
      </c>
      <c r="B4" s="63">
        <v>1</v>
      </c>
      <c r="C4" s="62"/>
      <c r="D4" s="34" t="s">
        <v>128</v>
      </c>
      <c r="E4" s="4"/>
      <c r="F4" s="4"/>
      <c r="G4" s="1"/>
      <c r="H4" s="1"/>
      <c r="I4" s="1"/>
      <c r="J4" s="1"/>
      <c r="K4" s="1"/>
      <c r="L4" s="1"/>
      <c r="M4" s="1"/>
      <c r="N4" s="1"/>
    </row>
    <row r="5" spans="1:14" ht="16.8" thickTop="1" thickBot="1" x14ac:dyDescent="0.35">
      <c r="A5" s="12" t="s">
        <v>127</v>
      </c>
      <c r="B5" s="17"/>
      <c r="C5" s="27"/>
      <c r="D5" s="4"/>
      <c r="E5" s="4"/>
      <c r="F5" s="4"/>
      <c r="G5" s="1"/>
      <c r="H5" s="1"/>
      <c r="I5" s="1"/>
      <c r="J5" s="1"/>
      <c r="K5" s="1"/>
      <c r="L5" s="1"/>
      <c r="M5" s="1"/>
      <c r="N5" s="1"/>
    </row>
    <row r="6" spans="1:14" ht="16.2" thickBot="1" x14ac:dyDescent="0.35">
      <c r="A6" s="4"/>
      <c r="B6" s="4"/>
      <c r="C6" s="25"/>
      <c r="D6" s="4"/>
      <c r="E6" s="4"/>
      <c r="F6" s="4"/>
      <c r="G6" s="1"/>
      <c r="H6" s="1"/>
      <c r="I6" s="1"/>
      <c r="J6" s="1"/>
      <c r="K6" s="1"/>
      <c r="L6" s="1"/>
      <c r="M6" s="1"/>
      <c r="N6" s="1"/>
    </row>
    <row r="7" spans="1:14" ht="16.2" thickBot="1" x14ac:dyDescent="0.35">
      <c r="A7" s="18" t="s">
        <v>50</v>
      </c>
      <c r="B7" s="4"/>
      <c r="C7" s="64"/>
      <c r="D7" s="4"/>
      <c r="E7" s="4"/>
      <c r="F7" s="16"/>
      <c r="G7" s="1"/>
      <c r="H7" s="1"/>
      <c r="I7" s="1"/>
      <c r="J7" s="1"/>
      <c r="K7" s="1"/>
      <c r="L7" s="1"/>
      <c r="M7" s="1"/>
      <c r="N7" s="1"/>
    </row>
    <row r="8" spans="1:14" ht="18.75" customHeight="1" thickBot="1" x14ac:dyDescent="0.35">
      <c r="A8" s="4" t="s">
        <v>115</v>
      </c>
      <c r="B8" s="20">
        <v>2</v>
      </c>
      <c r="C8" s="53">
        <v>333802</v>
      </c>
      <c r="D8" s="21"/>
      <c r="E8" s="15"/>
      <c r="F8" s="51"/>
      <c r="G8" s="50"/>
      <c r="H8" s="1"/>
      <c r="I8" s="1"/>
      <c r="J8" s="1"/>
      <c r="K8" s="1"/>
      <c r="L8" s="1"/>
      <c r="M8" s="1"/>
      <c r="N8" s="1"/>
    </row>
    <row r="9" spans="1:14" ht="18.75" customHeight="1" thickBot="1" x14ac:dyDescent="0.35">
      <c r="A9" s="4" t="s">
        <v>116</v>
      </c>
      <c r="B9" s="35">
        <v>3</v>
      </c>
      <c r="C9" s="55">
        <v>333802</v>
      </c>
      <c r="D9" s="21" t="s">
        <v>114</v>
      </c>
      <c r="E9" s="4"/>
      <c r="F9" s="17"/>
      <c r="G9" s="1"/>
      <c r="H9" s="1"/>
      <c r="I9" s="1"/>
      <c r="J9" s="1"/>
      <c r="K9" s="1"/>
      <c r="L9" s="1"/>
      <c r="M9" s="1"/>
      <c r="N9" s="1"/>
    </row>
    <row r="10" spans="1:14" ht="16.8" thickTop="1" thickBot="1" x14ac:dyDescent="0.35">
      <c r="A10" s="4" t="s">
        <v>3</v>
      </c>
      <c r="B10" s="20">
        <v>4</v>
      </c>
      <c r="C10" s="52">
        <f>(($C$9-$C$8)*0.01)*12</f>
        <v>0</v>
      </c>
      <c r="D10" s="21"/>
      <c r="E10" s="4"/>
      <c r="F10" s="4"/>
      <c r="G10" s="1"/>
      <c r="H10" s="1"/>
      <c r="I10" s="1"/>
      <c r="J10" s="1"/>
      <c r="K10" s="1"/>
      <c r="L10" s="1"/>
      <c r="M10" s="1"/>
      <c r="N10" s="1"/>
    </row>
    <row r="11" spans="1:14" ht="16.2" thickBot="1" x14ac:dyDescent="0.35">
      <c r="A11" s="4"/>
      <c r="B11" s="4"/>
      <c r="C11" s="49"/>
      <c r="D11" s="4"/>
      <c r="E11" s="4"/>
      <c r="F11" s="4"/>
      <c r="G11" s="1"/>
      <c r="H11" s="1"/>
      <c r="I11" s="1"/>
      <c r="J11" s="1"/>
      <c r="K11" s="1"/>
      <c r="L11" s="1"/>
      <c r="M11" s="1"/>
      <c r="N11" s="1"/>
    </row>
    <row r="12" spans="1:14" ht="16.2" thickBot="1" x14ac:dyDescent="0.35">
      <c r="A12" s="19" t="s">
        <v>49</v>
      </c>
      <c r="B12" s="20">
        <v>5</v>
      </c>
      <c r="C12" s="32">
        <f>SUM($C$4,$C$10)</f>
        <v>0</v>
      </c>
      <c r="D12" s="21" t="s">
        <v>85</v>
      </c>
      <c r="E12" s="4"/>
      <c r="F12" s="4"/>
      <c r="G12" s="1"/>
      <c r="H12" s="1"/>
      <c r="I12" s="1"/>
      <c r="J12" s="1"/>
      <c r="K12" s="1"/>
      <c r="L12" s="1"/>
      <c r="M12" s="1"/>
      <c r="N12" s="1"/>
    </row>
    <row r="13" spans="1:14" ht="16.2" thickBot="1" x14ac:dyDescent="0.35">
      <c r="A13" s="3"/>
      <c r="B13" s="4"/>
      <c r="C13" s="17"/>
      <c r="D13" s="4"/>
      <c r="E13" s="16"/>
      <c r="F13" s="4"/>
      <c r="G13" s="1"/>
      <c r="H13" s="1"/>
      <c r="I13" s="1"/>
      <c r="J13" s="1"/>
      <c r="K13" s="1"/>
      <c r="L13" s="1"/>
      <c r="M13" s="1"/>
      <c r="N13" s="1"/>
    </row>
    <row r="14" spans="1:14" ht="16.2" thickBot="1" x14ac:dyDescent="0.35">
      <c r="A14" s="4"/>
      <c r="B14" s="4"/>
      <c r="C14" s="4"/>
      <c r="D14" s="15"/>
      <c r="E14" s="24"/>
      <c r="F14" s="21"/>
      <c r="G14" s="1"/>
      <c r="H14" s="1"/>
      <c r="I14" s="1"/>
      <c r="J14" s="1"/>
      <c r="K14" s="1"/>
      <c r="L14" s="1"/>
      <c r="M14" s="1"/>
      <c r="N14" s="1"/>
    </row>
    <row r="15" spans="1:14" ht="16.2" thickBot="1" x14ac:dyDescent="0.35">
      <c r="A15" s="18" t="s">
        <v>4</v>
      </c>
      <c r="B15" s="5"/>
      <c r="C15" s="4"/>
      <c r="D15" s="4" t="s">
        <v>86</v>
      </c>
      <c r="E15" s="17"/>
      <c r="F15" s="4"/>
      <c r="G15" s="1"/>
      <c r="H15" s="1"/>
      <c r="I15" s="1"/>
      <c r="J15" s="1"/>
      <c r="K15" s="1"/>
      <c r="L15" s="1"/>
      <c r="M15" s="1"/>
      <c r="N15" s="1"/>
    </row>
    <row r="16" spans="1:14" ht="16.2" thickBot="1" x14ac:dyDescent="0.35">
      <c r="A16" s="12"/>
      <c r="B16" s="4"/>
      <c r="C16" s="8"/>
      <c r="D16" s="4"/>
      <c r="E16" s="4"/>
      <c r="F16" s="4"/>
      <c r="G16" s="1"/>
      <c r="H16" s="1"/>
      <c r="I16" s="1"/>
      <c r="J16" s="1"/>
      <c r="K16" s="1"/>
      <c r="L16" s="1"/>
      <c r="M16" s="1"/>
      <c r="N16" s="1"/>
    </row>
    <row r="17" spans="1:14" ht="16.2" thickBot="1" x14ac:dyDescent="0.35">
      <c r="A17" s="12"/>
      <c r="B17" s="4"/>
      <c r="C17" s="22"/>
      <c r="D17" s="4"/>
      <c r="E17" s="4"/>
      <c r="F17" s="4"/>
      <c r="G17" s="1"/>
      <c r="H17" s="1"/>
      <c r="I17" s="1"/>
      <c r="J17" s="1"/>
      <c r="K17" s="1"/>
      <c r="L17" s="1"/>
      <c r="M17" s="1"/>
      <c r="N17" s="1"/>
    </row>
    <row r="18" spans="1:14" ht="16.8" thickTop="1" thickBot="1" x14ac:dyDescent="0.35">
      <c r="A18" s="13" t="s">
        <v>118</v>
      </c>
      <c r="B18" s="28">
        <v>6</v>
      </c>
      <c r="C18" s="56"/>
      <c r="D18" s="34"/>
      <c r="E18" s="4"/>
      <c r="F18" s="4"/>
      <c r="G18" s="1"/>
      <c r="H18" s="1"/>
      <c r="I18" s="1"/>
      <c r="J18" s="1"/>
      <c r="K18" s="1"/>
      <c r="L18" s="1"/>
      <c r="M18" s="1"/>
      <c r="N18" s="1"/>
    </row>
    <row r="19" spans="1:14" ht="16.8" thickTop="1" thickBot="1" x14ac:dyDescent="0.35">
      <c r="A19" s="13" t="s">
        <v>119</v>
      </c>
      <c r="B19" s="23">
        <v>7</v>
      </c>
      <c r="C19" s="56"/>
      <c r="D19" s="34"/>
      <c r="E19" s="4"/>
      <c r="F19" s="4"/>
      <c r="G19" s="1"/>
      <c r="H19" s="1"/>
      <c r="I19" s="1"/>
      <c r="J19" s="1"/>
      <c r="K19" s="1"/>
      <c r="L19" s="1"/>
      <c r="M19" s="1"/>
      <c r="N19" s="1"/>
    </row>
    <row r="20" spans="1:14" ht="16.8" thickTop="1" thickBot="1" x14ac:dyDescent="0.35">
      <c r="A20" s="13" t="s">
        <v>7</v>
      </c>
      <c r="B20" s="28">
        <v>8</v>
      </c>
      <c r="C20" s="56"/>
      <c r="D20" s="34"/>
      <c r="E20" s="4"/>
      <c r="F20" s="4"/>
      <c r="G20" s="1"/>
      <c r="H20" s="1"/>
      <c r="I20" s="1"/>
      <c r="J20" s="1"/>
      <c r="K20" s="1"/>
      <c r="L20" s="1"/>
      <c r="M20" s="1"/>
      <c r="N20" s="1"/>
    </row>
    <row r="21" spans="1:14" ht="16.2" thickBot="1" x14ac:dyDescent="0.35">
      <c r="A21" s="13" t="s">
        <v>8</v>
      </c>
      <c r="B21" s="14">
        <v>9</v>
      </c>
      <c r="C21" s="36">
        <f>IF(SUM(C18:C20)&lt;=10,SUM(C18:C20),10)</f>
        <v>0</v>
      </c>
      <c r="D21" s="79"/>
      <c r="E21" s="79"/>
      <c r="F21" s="80"/>
      <c r="G21" s="1"/>
      <c r="H21" s="1"/>
      <c r="I21" s="1"/>
      <c r="J21" s="1"/>
      <c r="K21" s="1"/>
      <c r="L21" s="1"/>
      <c r="M21" s="1"/>
      <c r="N21" s="1"/>
    </row>
    <row r="22" spans="1:14" ht="16.2" thickBot="1" x14ac:dyDescent="0.35">
      <c r="A22" s="4"/>
      <c r="B22" s="4"/>
      <c r="C22" s="4"/>
      <c r="D22" s="4"/>
      <c r="E22" s="4"/>
      <c r="F22" s="4"/>
      <c r="G22" s="1"/>
      <c r="H22" s="1"/>
      <c r="I22" s="1"/>
      <c r="J22" s="2"/>
      <c r="K22" s="1"/>
      <c r="L22" s="1"/>
      <c r="M22" s="1"/>
      <c r="N22" s="1"/>
    </row>
    <row r="23" spans="1:14" ht="31.2" thickBot="1" x14ac:dyDescent="0.35">
      <c r="A23" s="4" t="s">
        <v>103</v>
      </c>
      <c r="B23" s="11">
        <v>10</v>
      </c>
      <c r="C23" s="5">
        <f>$C$21*500</f>
        <v>0</v>
      </c>
      <c r="D23" s="4" t="s">
        <v>87</v>
      </c>
      <c r="E23" s="4"/>
      <c r="F23" s="4"/>
      <c r="G23" s="1"/>
      <c r="H23" s="1"/>
      <c r="I23" s="1"/>
      <c r="J23" s="1"/>
      <c r="K23" s="1"/>
      <c r="L23" s="1"/>
      <c r="M23" s="1"/>
      <c r="N23" s="1"/>
    </row>
    <row r="24" spans="1:14" ht="16.2" thickBot="1" x14ac:dyDescent="0.35">
      <c r="A24" s="4"/>
      <c r="B24" s="5"/>
      <c r="C24" s="4"/>
      <c r="D24" s="4"/>
      <c r="E24" s="4"/>
      <c r="F24" s="4"/>
      <c r="G24" s="1"/>
      <c r="H24" s="1"/>
      <c r="I24" s="1"/>
      <c r="J24" s="1"/>
      <c r="K24" s="1"/>
      <c r="L24" s="1"/>
      <c r="M24" s="1"/>
      <c r="N24" s="1"/>
    </row>
    <row r="25" spans="1:14" ht="16.2" thickBot="1" x14ac:dyDescent="0.35">
      <c r="A25" s="19" t="s">
        <v>92</v>
      </c>
      <c r="B25" s="4"/>
      <c r="C25" s="16"/>
      <c r="D25" s="4"/>
      <c r="E25" s="4"/>
      <c r="F25" s="4"/>
      <c r="G25" s="1"/>
      <c r="H25" s="1"/>
      <c r="I25" s="1"/>
      <c r="J25" s="1"/>
      <c r="K25" s="1"/>
      <c r="L25" s="1"/>
      <c r="M25" s="1"/>
      <c r="N25" s="1"/>
    </row>
    <row r="26" spans="1:14" ht="16.2" thickBot="1" x14ac:dyDescent="0.35">
      <c r="A26" s="12" t="s">
        <v>83</v>
      </c>
      <c r="B26" s="11">
        <v>11</v>
      </c>
      <c r="C26" s="33">
        <f>SUM($C$12,$C$23)</f>
        <v>0</v>
      </c>
      <c r="D26" s="21" t="s">
        <v>88</v>
      </c>
      <c r="E26" s="4"/>
      <c r="F26" s="4"/>
      <c r="G26" s="1"/>
      <c r="H26" s="1"/>
      <c r="I26" s="1"/>
      <c r="J26" s="1"/>
      <c r="K26" s="1"/>
      <c r="L26" s="1"/>
      <c r="M26" s="1"/>
      <c r="N26" s="1"/>
    </row>
    <row r="27" spans="1:14" ht="16.2" thickBot="1" x14ac:dyDescent="0.35">
      <c r="A27" s="4"/>
      <c r="B27" s="4"/>
      <c r="C27" s="17"/>
      <c r="D27" s="4"/>
      <c r="E27" s="4"/>
      <c r="F27" s="4"/>
      <c r="G27" s="1"/>
      <c r="H27" s="1"/>
      <c r="I27" s="1"/>
      <c r="J27" s="1"/>
      <c r="K27" s="1"/>
      <c r="L27" s="1"/>
      <c r="M27" s="1"/>
      <c r="N27" s="1"/>
    </row>
    <row r="28" spans="1:14" ht="15" thickBot="1" x14ac:dyDescent="0.35">
      <c r="A28" s="1"/>
      <c r="B28" s="1"/>
      <c r="C28" s="1"/>
      <c r="D28" s="1"/>
      <c r="E28" s="1"/>
      <c r="F28" s="1"/>
      <c r="G28" s="1"/>
      <c r="H28" s="1"/>
      <c r="I28" s="1"/>
      <c r="J28" s="1"/>
      <c r="K28" s="1"/>
      <c r="L28" s="1"/>
      <c r="M28" s="1"/>
      <c r="N28" s="1"/>
    </row>
  </sheetData>
  <mergeCells count="1">
    <mergeCell ref="D21:F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D2173-DD5F-4AB7-BFEB-9B80B0B073BB}">
  <dimension ref="A13:F22"/>
  <sheetViews>
    <sheetView topLeftCell="A13" workbookViewId="0">
      <selection activeCell="A15" sqref="A15"/>
    </sheetView>
  </sheetViews>
  <sheetFormatPr defaultRowHeight="14.4" x14ac:dyDescent="0.3"/>
  <cols>
    <col min="1" max="1" width="35" customWidth="1"/>
  </cols>
  <sheetData>
    <row r="13" spans="1:6" ht="15.6" x14ac:dyDescent="0.3">
      <c r="A13" s="10" t="s">
        <v>10</v>
      </c>
      <c r="B13" s="11"/>
      <c r="C13" s="10" t="s">
        <v>1</v>
      </c>
      <c r="D13" s="10"/>
      <c r="E13" s="11"/>
      <c r="F13" s="11"/>
    </row>
    <row r="14" spans="1:6" ht="16.2" thickBot="1" x14ac:dyDescent="0.35">
      <c r="A14" s="11"/>
      <c r="B14" s="11"/>
      <c r="C14" s="11"/>
      <c r="D14" s="39"/>
      <c r="E14" s="11"/>
      <c r="F14" s="11"/>
    </row>
    <row r="15" spans="1:6" ht="16.8" thickTop="1" thickBot="1" x14ac:dyDescent="0.35">
      <c r="A15" s="11" t="s">
        <v>129</v>
      </c>
      <c r="B15" s="11"/>
      <c r="C15" s="40">
        <v>1</v>
      </c>
      <c r="D15" s="57"/>
      <c r="E15" s="11"/>
      <c r="F15" s="11"/>
    </row>
    <row r="16" spans="1:6" ht="16.8" thickTop="1" thickBot="1" x14ac:dyDescent="0.35">
      <c r="A16" s="11" t="s">
        <v>11</v>
      </c>
      <c r="B16" s="11"/>
      <c r="C16" s="40">
        <v>2</v>
      </c>
      <c r="D16" s="57"/>
      <c r="E16" s="11"/>
      <c r="F16" s="11"/>
    </row>
    <row r="17" spans="1:6" ht="16.8" thickTop="1" thickBot="1" x14ac:dyDescent="0.35">
      <c r="A17" s="11" t="s">
        <v>12</v>
      </c>
      <c r="B17" s="11"/>
      <c r="C17" s="40">
        <v>3</v>
      </c>
      <c r="D17" s="57"/>
      <c r="E17" s="11"/>
      <c r="F17" s="11"/>
    </row>
    <row r="18" spans="1:6" ht="16.8" thickTop="1" thickBot="1" x14ac:dyDescent="0.35">
      <c r="A18" s="11" t="s">
        <v>13</v>
      </c>
      <c r="B18" s="11"/>
      <c r="C18" s="40">
        <v>4</v>
      </c>
      <c r="D18" s="57"/>
      <c r="E18" s="11"/>
      <c r="F18" s="11"/>
    </row>
    <row r="19" spans="1:6" ht="16.8" thickTop="1" thickBot="1" x14ac:dyDescent="0.35">
      <c r="A19" s="11" t="s">
        <v>14</v>
      </c>
      <c r="B19" s="11"/>
      <c r="C19" s="40">
        <v>5</v>
      </c>
      <c r="D19" s="58"/>
      <c r="E19" s="11"/>
      <c r="F19" s="11"/>
    </row>
    <row r="20" spans="1:6" ht="16.8" thickTop="1" thickBot="1" x14ac:dyDescent="0.35">
      <c r="A20" s="11"/>
      <c r="B20" s="11"/>
      <c r="C20" s="11"/>
      <c r="D20" s="41"/>
      <c r="E20" s="11"/>
      <c r="F20" s="11"/>
    </row>
    <row r="21" spans="1:6" ht="16.8" thickTop="1" thickBot="1" x14ac:dyDescent="0.35">
      <c r="A21" s="10" t="s">
        <v>15</v>
      </c>
      <c r="B21" s="11"/>
      <c r="C21" s="43">
        <v>6</v>
      </c>
      <c r="D21" s="42">
        <f>SUM(D15:D20)</f>
        <v>0</v>
      </c>
      <c r="E21" s="11"/>
      <c r="F21" s="11"/>
    </row>
    <row r="22" spans="1:6" ht="15" thickTop="1"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7CBB5-BF77-45A3-B90B-1C0B48D5AB8F}">
  <dimension ref="A1:D24"/>
  <sheetViews>
    <sheetView workbookViewId="0">
      <selection activeCell="D5" sqref="D5"/>
    </sheetView>
  </sheetViews>
  <sheetFormatPr defaultRowHeight="14.4" x14ac:dyDescent="0.3"/>
  <cols>
    <col min="1" max="1" width="77" customWidth="1"/>
    <col min="4" max="4" width="68.5546875" customWidth="1"/>
  </cols>
  <sheetData>
    <row r="1" spans="1:4" ht="16.2" thickBot="1" x14ac:dyDescent="0.35">
      <c r="A1" s="18" t="s">
        <v>0</v>
      </c>
      <c r="B1" s="18" t="s">
        <v>1</v>
      </c>
      <c r="C1" s="18"/>
      <c r="D1" s="10" t="s">
        <v>84</v>
      </c>
    </row>
    <row r="2" spans="1:4" ht="16.2" thickBot="1" x14ac:dyDescent="0.35">
      <c r="A2" s="4"/>
      <c r="B2" s="4"/>
      <c r="C2" s="4"/>
    </row>
    <row r="3" spans="1:4" ht="16.2" thickBot="1" x14ac:dyDescent="0.35">
      <c r="A3" s="18" t="s">
        <v>48</v>
      </c>
      <c r="B3" s="4"/>
      <c r="C3" s="4"/>
    </row>
    <row r="4" spans="1:4" ht="16.2" thickBot="1" x14ac:dyDescent="0.35">
      <c r="A4" s="3"/>
      <c r="B4" s="16"/>
      <c r="C4" s="25"/>
    </row>
    <row r="5" spans="1:4" ht="16.8" thickTop="1" thickBot="1" x14ac:dyDescent="0.35">
      <c r="A5" s="15" t="s">
        <v>2</v>
      </c>
      <c r="B5" s="30">
        <v>1</v>
      </c>
      <c r="C5" s="54"/>
      <c r="D5" s="60" t="s">
        <v>131</v>
      </c>
    </row>
    <row r="6" spans="1:4" ht="21" customHeight="1" thickTop="1" thickBot="1" x14ac:dyDescent="0.35">
      <c r="A6" s="12" t="s">
        <v>130</v>
      </c>
      <c r="B6" s="31"/>
      <c r="C6" s="27"/>
    </row>
    <row r="7" spans="1:4" ht="16.2" thickBot="1" x14ac:dyDescent="0.35">
      <c r="A7" s="4"/>
      <c r="B7" s="4"/>
      <c r="C7" s="4"/>
    </row>
    <row r="8" spans="1:4" ht="16.2" thickBot="1" x14ac:dyDescent="0.35">
      <c r="A8" s="4"/>
      <c r="B8" s="4"/>
      <c r="C8" s="4"/>
    </row>
    <row r="9" spans="1:4" ht="16.2" thickBot="1" x14ac:dyDescent="0.35">
      <c r="A9" s="18" t="s">
        <v>45</v>
      </c>
      <c r="B9" s="5"/>
      <c r="C9" s="4"/>
      <c r="D9" s="11" t="s">
        <v>91</v>
      </c>
    </row>
    <row r="10" spans="1:4" ht="16.2" thickBot="1" x14ac:dyDescent="0.35">
      <c r="A10" s="12"/>
      <c r="B10" s="4"/>
      <c r="C10" s="8"/>
    </row>
    <row r="11" spans="1:4" ht="16.2" thickBot="1" x14ac:dyDescent="0.35">
      <c r="A11" s="12"/>
      <c r="B11" s="4"/>
      <c r="C11" s="22"/>
    </row>
    <row r="12" spans="1:4" ht="16.8" thickTop="1" thickBot="1" x14ac:dyDescent="0.35">
      <c r="A12" s="13" t="s">
        <v>5</v>
      </c>
      <c r="B12" s="23">
        <v>2</v>
      </c>
      <c r="C12" s="56"/>
      <c r="D12" s="26"/>
    </row>
    <row r="13" spans="1:4" ht="18.75" customHeight="1" thickTop="1" thickBot="1" x14ac:dyDescent="0.35">
      <c r="A13" s="13" t="s">
        <v>6</v>
      </c>
      <c r="B13" s="28">
        <v>3</v>
      </c>
      <c r="C13" s="56"/>
    </row>
    <row r="14" spans="1:4" ht="16.8" thickTop="1" thickBot="1" x14ac:dyDescent="0.35">
      <c r="A14" s="13" t="s">
        <v>7</v>
      </c>
      <c r="B14" s="23">
        <v>4</v>
      </c>
      <c r="C14" s="56"/>
    </row>
    <row r="15" spans="1:4" ht="16.8" thickTop="1" thickBot="1" x14ac:dyDescent="0.35">
      <c r="A15" s="13" t="s">
        <v>8</v>
      </c>
      <c r="B15" s="14">
        <v>5</v>
      </c>
      <c r="C15" s="29">
        <f>IF(SUM(C12:C14)&lt;=10,SUM(C12:C14),10)</f>
        <v>0</v>
      </c>
    </row>
    <row r="16" spans="1:4" ht="16.2" thickBot="1" x14ac:dyDescent="0.35">
      <c r="A16" s="4"/>
      <c r="B16" s="4"/>
      <c r="C16" s="4"/>
    </row>
    <row r="17" spans="1:4" ht="31.2" thickBot="1" x14ac:dyDescent="0.35">
      <c r="A17" s="4" t="s">
        <v>104</v>
      </c>
      <c r="B17" s="11">
        <v>6</v>
      </c>
      <c r="C17" s="5">
        <f>$C$15*500</f>
        <v>0</v>
      </c>
      <c r="D17" s="11" t="s">
        <v>87</v>
      </c>
    </row>
    <row r="18" spans="1:4" ht="16.2" thickBot="1" x14ac:dyDescent="0.35">
      <c r="A18" s="4"/>
      <c r="B18" s="5"/>
      <c r="C18" s="4"/>
    </row>
    <row r="19" spans="1:4" ht="37.5" customHeight="1" thickBot="1" x14ac:dyDescent="0.35">
      <c r="A19" s="18" t="s">
        <v>47</v>
      </c>
      <c r="B19" s="5"/>
      <c r="C19" s="4"/>
    </row>
    <row r="20" spans="1:4" ht="16.2" thickBot="1" x14ac:dyDescent="0.35">
      <c r="A20" s="3"/>
      <c r="B20" s="5"/>
      <c r="C20" s="16"/>
    </row>
    <row r="21" spans="1:4" ht="16.8" thickTop="1" thickBot="1" x14ac:dyDescent="0.35">
      <c r="A21" s="4" t="s">
        <v>9</v>
      </c>
      <c r="B21" s="20">
        <v>7</v>
      </c>
      <c r="C21" s="56"/>
      <c r="D21" s="60" t="s">
        <v>90</v>
      </c>
    </row>
    <row r="22" spans="1:4" ht="16.2" thickBot="1" x14ac:dyDescent="0.35">
      <c r="A22" s="4"/>
      <c r="B22" s="4"/>
      <c r="C22" s="17"/>
    </row>
    <row r="23" spans="1:4" ht="16.2" thickBot="1" x14ac:dyDescent="0.35">
      <c r="A23" s="19" t="s">
        <v>92</v>
      </c>
      <c r="B23" s="4"/>
      <c r="C23" s="16"/>
    </row>
    <row r="24" spans="1:4" ht="16.2" thickBot="1" x14ac:dyDescent="0.35">
      <c r="A24" s="4"/>
      <c r="B24" s="11">
        <v>8</v>
      </c>
      <c r="C24" s="33">
        <f>SUM($C$5,$C$17,$C$21)</f>
        <v>0</v>
      </c>
      <c r="D24" s="11" t="s">
        <v>89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B5C04-13D7-408C-9F3B-8B93A25958BA}">
  <dimension ref="A1:E31"/>
  <sheetViews>
    <sheetView workbookViewId="0">
      <selection activeCell="A6" sqref="A6"/>
    </sheetView>
  </sheetViews>
  <sheetFormatPr defaultRowHeight="14.4" x14ac:dyDescent="0.3"/>
  <cols>
    <col min="1" max="1" width="41" customWidth="1"/>
  </cols>
  <sheetData>
    <row r="1" spans="1:5" ht="15.6" x14ac:dyDescent="0.3">
      <c r="A1" s="38" t="s">
        <v>51</v>
      </c>
      <c r="B1" s="11"/>
      <c r="C1" s="11" t="s">
        <v>1</v>
      </c>
      <c r="D1" s="11"/>
    </row>
    <row r="2" spans="1:5" ht="16.2" thickBot="1" x14ac:dyDescent="0.35">
      <c r="A2" s="11"/>
      <c r="B2" s="11"/>
      <c r="C2" s="11"/>
      <c r="D2" s="11"/>
      <c r="E2" s="47"/>
    </row>
    <row r="3" spans="1:5" ht="16.8" thickTop="1" thickBot="1" x14ac:dyDescent="0.35">
      <c r="A3" s="10" t="s">
        <v>81</v>
      </c>
      <c r="B3" s="11"/>
      <c r="C3" s="11">
        <v>1</v>
      </c>
      <c r="D3" s="40"/>
      <c r="E3" s="59"/>
    </row>
    <row r="4" spans="1:5" ht="16.2" thickTop="1" x14ac:dyDescent="0.3">
      <c r="A4" s="46" t="s">
        <v>78</v>
      </c>
      <c r="B4" s="11"/>
      <c r="C4" s="11"/>
      <c r="D4" s="11"/>
    </row>
    <row r="5" spans="1:5" ht="16.2" thickBot="1" x14ac:dyDescent="0.35">
      <c r="A5" s="11"/>
      <c r="B5" s="11"/>
      <c r="C5" s="11"/>
      <c r="D5" s="11"/>
      <c r="E5" s="47"/>
    </row>
    <row r="6" spans="1:5" ht="16.8" thickTop="1" thickBot="1" x14ac:dyDescent="0.35">
      <c r="A6" s="10" t="s">
        <v>132</v>
      </c>
      <c r="B6" s="11"/>
      <c r="C6" s="11">
        <v>2</v>
      </c>
      <c r="D6" s="40"/>
      <c r="E6" s="59"/>
    </row>
    <row r="7" spans="1:5" ht="16.2" thickTop="1" x14ac:dyDescent="0.3">
      <c r="A7" s="46" t="s">
        <v>78</v>
      </c>
      <c r="B7" s="11"/>
      <c r="C7" s="11"/>
      <c r="D7" s="11"/>
    </row>
    <row r="8" spans="1:5" ht="15.6" x14ac:dyDescent="0.3">
      <c r="A8" s="11"/>
      <c r="B8" s="11"/>
      <c r="C8" s="11"/>
      <c r="D8" s="11"/>
    </row>
    <row r="9" spans="1:5" ht="16.2" thickBot="1" x14ac:dyDescent="0.35">
      <c r="A9" s="10" t="s">
        <v>105</v>
      </c>
      <c r="B9" s="11"/>
      <c r="C9" s="11"/>
      <c r="D9" s="11"/>
      <c r="E9" s="47"/>
    </row>
    <row r="10" spans="1:5" ht="16.8" thickTop="1" thickBot="1" x14ac:dyDescent="0.35">
      <c r="A10" s="11" t="s">
        <v>80</v>
      </c>
      <c r="B10" s="11"/>
      <c r="C10" s="11">
        <v>3</v>
      </c>
      <c r="D10" s="40"/>
      <c r="E10" s="59"/>
    </row>
    <row r="11" spans="1:5" ht="16.8" thickTop="1" thickBot="1" x14ac:dyDescent="0.35">
      <c r="A11" s="11" t="s">
        <v>79</v>
      </c>
      <c r="B11" s="11"/>
      <c r="C11" s="11">
        <v>4</v>
      </c>
      <c r="D11" s="40"/>
      <c r="E11" s="59"/>
    </row>
    <row r="12" spans="1:5" ht="16.2" thickTop="1" x14ac:dyDescent="0.3">
      <c r="A12" s="11"/>
      <c r="B12" s="11"/>
      <c r="C12" s="11"/>
      <c r="D12" s="11"/>
    </row>
    <row r="13" spans="1:5" ht="16.2" thickBot="1" x14ac:dyDescent="0.35">
      <c r="A13" s="10" t="s">
        <v>106</v>
      </c>
      <c r="B13" s="11"/>
      <c r="C13" s="11"/>
      <c r="D13" s="11"/>
      <c r="E13" s="47"/>
    </row>
    <row r="14" spans="1:5" ht="16.8" thickTop="1" thickBot="1" x14ac:dyDescent="0.35">
      <c r="A14" s="11" t="s">
        <v>80</v>
      </c>
      <c r="B14" s="11"/>
      <c r="C14" s="11">
        <v>5</v>
      </c>
      <c r="D14" s="40"/>
      <c r="E14" s="59"/>
    </row>
    <row r="15" spans="1:5" ht="16.8" thickTop="1" thickBot="1" x14ac:dyDescent="0.35">
      <c r="A15" s="11" t="s">
        <v>79</v>
      </c>
      <c r="B15" s="11"/>
      <c r="C15" s="11">
        <v>6</v>
      </c>
      <c r="D15" s="40"/>
      <c r="E15" s="59"/>
    </row>
    <row r="16" spans="1:5" ht="16.2" thickTop="1" x14ac:dyDescent="0.3">
      <c r="A16" s="11"/>
    </row>
    <row r="17" spans="1:5" ht="16.2" thickBot="1" x14ac:dyDescent="0.35">
      <c r="A17" s="10" t="s">
        <v>107</v>
      </c>
      <c r="E17" s="47"/>
    </row>
    <row r="18" spans="1:5" ht="16.8" thickTop="1" thickBot="1" x14ac:dyDescent="0.35">
      <c r="A18" s="11" t="s">
        <v>80</v>
      </c>
      <c r="C18" s="11">
        <v>7</v>
      </c>
      <c r="D18" s="48"/>
      <c r="E18" s="59"/>
    </row>
    <row r="19" spans="1:5" ht="16.8" thickTop="1" thickBot="1" x14ac:dyDescent="0.35">
      <c r="A19" s="11" t="s">
        <v>79</v>
      </c>
      <c r="C19" s="11">
        <v>8</v>
      </c>
      <c r="D19" s="48"/>
      <c r="E19" s="59"/>
    </row>
    <row r="20" spans="1:5" ht="16.2" thickTop="1" x14ac:dyDescent="0.3">
      <c r="C20" s="11"/>
    </row>
    <row r="21" spans="1:5" ht="16.2" thickBot="1" x14ac:dyDescent="0.35">
      <c r="A21" s="10" t="s">
        <v>108</v>
      </c>
      <c r="C21" s="11"/>
    </row>
    <row r="22" spans="1:5" ht="16.8" thickTop="1" thickBot="1" x14ac:dyDescent="0.35">
      <c r="A22" s="11" t="s">
        <v>109</v>
      </c>
      <c r="C22" s="11">
        <v>9</v>
      </c>
      <c r="D22" s="48"/>
      <c r="E22" s="59"/>
    </row>
    <row r="23" spans="1:5" ht="16.8" thickTop="1" thickBot="1" x14ac:dyDescent="0.35">
      <c r="A23" s="11" t="s">
        <v>79</v>
      </c>
      <c r="C23" s="11">
        <v>10</v>
      </c>
      <c r="D23" s="48"/>
      <c r="E23" s="59"/>
    </row>
    <row r="24" spans="1:5" ht="16.2" thickTop="1" x14ac:dyDescent="0.3">
      <c r="C24" s="11"/>
    </row>
    <row r="25" spans="1:5" ht="16.2" thickBot="1" x14ac:dyDescent="0.35">
      <c r="A25" s="10" t="s">
        <v>110</v>
      </c>
      <c r="C25" s="11"/>
    </row>
    <row r="26" spans="1:5" ht="16.8" thickTop="1" thickBot="1" x14ac:dyDescent="0.35">
      <c r="A26" s="11" t="s">
        <v>109</v>
      </c>
      <c r="C26" s="11">
        <v>11</v>
      </c>
      <c r="D26" s="48"/>
      <c r="E26" s="59"/>
    </row>
    <row r="27" spans="1:5" ht="16.8" thickTop="1" thickBot="1" x14ac:dyDescent="0.35">
      <c r="A27" s="11" t="s">
        <v>79</v>
      </c>
      <c r="C27" s="11">
        <v>12</v>
      </c>
      <c r="D27" s="48"/>
      <c r="E27" s="59"/>
    </row>
    <row r="28" spans="1:5" ht="16.2" thickTop="1" x14ac:dyDescent="0.3">
      <c r="C28" s="11"/>
    </row>
    <row r="29" spans="1:5" ht="16.2" thickBot="1" x14ac:dyDescent="0.35">
      <c r="A29" s="66" t="s">
        <v>111</v>
      </c>
      <c r="C29" s="11"/>
    </row>
    <row r="30" spans="1:5" ht="16.8" thickTop="1" thickBot="1" x14ac:dyDescent="0.35">
      <c r="A30" s="11" t="s">
        <v>112</v>
      </c>
      <c r="C30" s="11">
        <v>13</v>
      </c>
      <c r="D30" s="40"/>
      <c r="E30" s="59"/>
    </row>
    <row r="31" spans="1:5" ht="15" thickTop="1" x14ac:dyDescent="0.3"/>
  </sheetData>
  <hyperlinks>
    <hyperlink ref="A7" r:id="rId1" xr:uid="{15EE6457-A675-465E-9CF4-52F882C98628}"/>
    <hyperlink ref="A4" r:id="rId2" xr:uid="{EF45637E-8F78-4ADB-978A-90733DC8CFA7}"/>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0D68E-82AD-4C17-BB2A-DC696A91E456}">
  <dimension ref="A1:L34"/>
  <sheetViews>
    <sheetView workbookViewId="0">
      <selection activeCell="J4" sqref="J4"/>
    </sheetView>
  </sheetViews>
  <sheetFormatPr defaultRowHeight="14.4" x14ac:dyDescent="0.3"/>
  <cols>
    <col min="1" max="1" width="23.5546875" customWidth="1"/>
    <col min="2" max="2" width="5.6640625" customWidth="1"/>
    <col min="3" max="3" width="14.33203125" bestFit="1" customWidth="1"/>
    <col min="4" max="4" width="5" customWidth="1"/>
    <col min="5" max="5" width="14.21875" customWidth="1"/>
    <col min="6" max="6" width="5.109375" customWidth="1"/>
    <col min="7" max="7" width="14.77734375" customWidth="1"/>
    <col min="8" max="8" width="5.21875" customWidth="1"/>
    <col min="9" max="9" width="14.88671875" bestFit="1" customWidth="1"/>
  </cols>
  <sheetData>
    <row r="1" spans="1:12" ht="15.6" x14ac:dyDescent="0.3">
      <c r="A1" s="10" t="s">
        <v>138</v>
      </c>
    </row>
    <row r="3" spans="1:12" x14ac:dyDescent="0.3">
      <c r="A3" s="37" t="s">
        <v>124</v>
      </c>
    </row>
    <row r="4" spans="1:12" x14ac:dyDescent="0.3">
      <c r="A4" t="s">
        <v>139</v>
      </c>
    </row>
    <row r="6" spans="1:12" x14ac:dyDescent="0.3">
      <c r="I6" s="75" t="s">
        <v>121</v>
      </c>
    </row>
    <row r="7" spans="1:12" ht="15.6" x14ac:dyDescent="0.3">
      <c r="A7" s="10" t="s">
        <v>52</v>
      </c>
      <c r="C7" s="69" t="s">
        <v>133</v>
      </c>
      <c r="E7" s="71" t="s">
        <v>134</v>
      </c>
      <c r="G7" s="70" t="s">
        <v>135</v>
      </c>
      <c r="I7" s="69" t="s">
        <v>122</v>
      </c>
    </row>
    <row r="9" spans="1:12" ht="15.6" x14ac:dyDescent="0.3">
      <c r="A9" s="11" t="s">
        <v>53</v>
      </c>
      <c r="B9" s="11"/>
      <c r="C9" s="76">
        <f>(58273*(1+(1*0.03)))*1.03</f>
        <v>61821.825700000001</v>
      </c>
      <c r="D9" s="11"/>
      <c r="E9" s="76">
        <f>(58273*(1+(1*0.03)))*1.05</f>
        <v>63022.249500000005</v>
      </c>
      <c r="F9" s="11"/>
      <c r="G9" s="76">
        <f>(58273*(1+(1*0.03)))*1.07</f>
        <v>64222.673300000009</v>
      </c>
      <c r="H9" s="11"/>
      <c r="I9" s="76">
        <f>58273*(1+(1*0.03))</f>
        <v>60021.19</v>
      </c>
      <c r="L9" s="74"/>
    </row>
    <row r="10" spans="1:12" ht="15.6" x14ac:dyDescent="0.3">
      <c r="A10" s="61" t="s">
        <v>54</v>
      </c>
      <c r="B10" s="61"/>
      <c r="C10" s="77">
        <f>(59293*(1+(1*0.03)))*1.03</f>
        <v>62903.943700000003</v>
      </c>
      <c r="D10" s="61"/>
      <c r="E10" s="77">
        <f>(59293*(1+(1*0.03)))*1.05</f>
        <v>64125.379500000003</v>
      </c>
      <c r="F10" s="61"/>
      <c r="G10" s="77">
        <f>(59293*(1+(1*0.03)))*1.07</f>
        <v>65346.815300000002</v>
      </c>
      <c r="H10" s="61"/>
      <c r="I10" s="77">
        <f>59293*(1+(1*0.03))</f>
        <v>61071.79</v>
      </c>
    </row>
    <row r="11" spans="1:12" ht="15.6" x14ac:dyDescent="0.3">
      <c r="A11" s="11" t="s">
        <v>55</v>
      </c>
      <c r="B11" s="11"/>
      <c r="C11" s="76">
        <f>(60330*(1+(1*0.03)))*1.03</f>
        <v>64004.097000000002</v>
      </c>
      <c r="D11" s="11"/>
      <c r="E11" s="76">
        <f>(60330*(1+(1*0.03)))*1.05</f>
        <v>65246.895000000004</v>
      </c>
      <c r="F11" s="11"/>
      <c r="G11" s="76">
        <f>(60330*(1+(1*0.03)))*1.07</f>
        <v>66489.692999999999</v>
      </c>
      <c r="H11" s="11"/>
      <c r="I11" s="76">
        <f>60330*(1+(1*0.03))</f>
        <v>62139.9</v>
      </c>
    </row>
    <row r="12" spans="1:12" ht="15.6" x14ac:dyDescent="0.3">
      <c r="A12" s="61" t="s">
        <v>56</v>
      </c>
      <c r="B12" s="61"/>
      <c r="C12" s="77">
        <f>(61387*(1+(1*0.03)))*1.03</f>
        <v>65125.4683</v>
      </c>
      <c r="D12" s="61"/>
      <c r="E12" s="77">
        <f>(61387*(1+(1*0.03)))*1.05</f>
        <v>66390.040500000003</v>
      </c>
      <c r="F12" s="61"/>
      <c r="G12" s="77">
        <f>(61387*(1+(1*0.03)))*1.07</f>
        <v>67654.612699999998</v>
      </c>
      <c r="H12" s="61"/>
      <c r="I12" s="77">
        <f>61387*(1+(1*0.03))</f>
        <v>63228.61</v>
      </c>
    </row>
    <row r="13" spans="1:12" ht="15.6" x14ac:dyDescent="0.3">
      <c r="A13" s="11" t="s">
        <v>57</v>
      </c>
      <c r="B13" s="11"/>
      <c r="C13" s="76">
        <f>(62460*(1+(1*0.03)))*1.03</f>
        <v>66263.813999999998</v>
      </c>
      <c r="D13" s="11"/>
      <c r="E13" s="76">
        <f>(62460*(1+(1*0.03)))*1.05</f>
        <v>67550.490000000005</v>
      </c>
      <c r="F13" s="11"/>
      <c r="G13" s="76">
        <f>(62460*(1+(1*0.03)))*1.07</f>
        <v>68837.166000000012</v>
      </c>
      <c r="H13" s="11"/>
      <c r="I13" s="76">
        <f>62460*(1+(1*0.03))</f>
        <v>64333.8</v>
      </c>
    </row>
    <row r="14" spans="1:12" ht="15.6" x14ac:dyDescent="0.3">
      <c r="A14" s="61" t="s">
        <v>58</v>
      </c>
      <c r="B14" s="61"/>
      <c r="C14" s="77">
        <f>(63553*(1+(1*0.03)))*1.03</f>
        <v>67423.377700000012</v>
      </c>
      <c r="D14" s="61"/>
      <c r="E14" s="77">
        <f>(63553*(1+(1*0.03)))*1.05</f>
        <v>68732.569500000012</v>
      </c>
      <c r="F14" s="61"/>
      <c r="G14" s="77">
        <f>(63553*(1+(1*0.03)))*1.07</f>
        <v>70041.761300000013</v>
      </c>
      <c r="H14" s="61"/>
      <c r="I14" s="77">
        <f>63553*(1+(1*0.03))</f>
        <v>65459.590000000004</v>
      </c>
    </row>
    <row r="15" spans="1:12" ht="15.6" x14ac:dyDescent="0.3">
      <c r="A15" s="11" t="s">
        <v>59</v>
      </c>
      <c r="B15" s="11"/>
      <c r="C15" s="76">
        <f>(64665*(1+(1*0.03)))*1.03</f>
        <v>68603.098499999993</v>
      </c>
      <c r="D15" s="11"/>
      <c r="E15" s="76">
        <f>(64665*(1+(1*0.03)))*1.05</f>
        <v>69935.197499999995</v>
      </c>
      <c r="F15" s="11"/>
      <c r="G15" s="76">
        <f>(64665*(1+(1*0.03)))*1.07</f>
        <v>71267.296499999997</v>
      </c>
      <c r="H15" s="11"/>
      <c r="I15" s="76">
        <f>64665*(1+(1*0.03))</f>
        <v>66604.95</v>
      </c>
    </row>
    <row r="16" spans="1:12" ht="15.6" x14ac:dyDescent="0.3">
      <c r="A16" s="61" t="s">
        <v>60</v>
      </c>
      <c r="B16" s="61"/>
      <c r="C16" s="77">
        <f>(65797*(1+(1*0.03)))*1.03</f>
        <v>69804.037300000011</v>
      </c>
      <c r="D16" s="61"/>
      <c r="E16" s="77">
        <f>(65797*(1+(1*0.03)))*1.05</f>
        <v>71159.455500000011</v>
      </c>
      <c r="F16" s="61"/>
      <c r="G16" s="77">
        <f>(65797*(1+(1*0.03)))*1.07</f>
        <v>72514.873700000011</v>
      </c>
      <c r="H16" s="61"/>
      <c r="I16" s="77">
        <f>65797*(1+(1*0.03))</f>
        <v>67770.91</v>
      </c>
    </row>
    <row r="17" spans="1:9" ht="15.6" x14ac:dyDescent="0.3">
      <c r="A17" s="11" t="s">
        <v>61</v>
      </c>
      <c r="B17" s="11"/>
      <c r="C17" s="76">
        <f>(66949*(1+(1*0.03)))*1.03</f>
        <v>71026.194100000008</v>
      </c>
      <c r="D17" s="11"/>
      <c r="E17" s="76">
        <f>(66949*(1+(1*0.03)))*1.05</f>
        <v>72405.343500000003</v>
      </c>
      <c r="F17" s="11"/>
      <c r="G17" s="76">
        <f>(66949*(1+(1*0.03)))*1.07</f>
        <v>73784.492900000012</v>
      </c>
      <c r="H17" s="11"/>
      <c r="I17" s="76">
        <f>66949*(1+(1*0.03))</f>
        <v>68957.47</v>
      </c>
    </row>
    <row r="18" spans="1:9" ht="15.6" x14ac:dyDescent="0.3">
      <c r="A18" s="61" t="s">
        <v>62</v>
      </c>
      <c r="B18" s="61"/>
      <c r="C18" s="77">
        <f>(68120*(1+(1*0.03)))*1.03</f>
        <v>72268.508000000002</v>
      </c>
      <c r="D18" s="61"/>
      <c r="E18" s="77">
        <f>(68120*(1+(1*0.03)))*1.05</f>
        <v>73671.780000000013</v>
      </c>
      <c r="F18" s="61"/>
      <c r="G18" s="77">
        <f>(68120*(1+(1*0.03)))*1.07</f>
        <v>75075.052000000011</v>
      </c>
      <c r="H18" s="61"/>
      <c r="I18" s="77">
        <f>68120*(1+(1*0.03))</f>
        <v>70163.600000000006</v>
      </c>
    </row>
    <row r="19" spans="1:9" ht="15.6" x14ac:dyDescent="0.3">
      <c r="A19" s="11" t="s">
        <v>63</v>
      </c>
      <c r="B19" s="11"/>
      <c r="C19" s="76">
        <f>(69312*(1+(1*0.03)))*1.03</f>
        <v>73533.1008</v>
      </c>
      <c r="D19" s="11"/>
      <c r="E19" s="76">
        <f>(69312*(1+(1*0.03)))*1.05</f>
        <v>74960.928</v>
      </c>
      <c r="F19" s="11"/>
      <c r="G19" s="76">
        <f>(69312*(1+(1*0.03)))*1.07</f>
        <v>76388.7552</v>
      </c>
      <c r="H19" s="11"/>
      <c r="I19" s="76">
        <f>69312*(1+(1*0.03))</f>
        <v>71391.360000000001</v>
      </c>
    </row>
    <row r="20" spans="1:9" ht="15.6" x14ac:dyDescent="0.3">
      <c r="A20" s="61" t="s">
        <v>64</v>
      </c>
      <c r="B20" s="61"/>
      <c r="C20" s="77">
        <f>(70803*(1+(1*0.03)))*1.03</f>
        <v>75114.902699999991</v>
      </c>
      <c r="D20" s="61"/>
      <c r="E20" s="77">
        <f>(70803*(1+(1*0.03)))*1.05</f>
        <v>76573.444499999998</v>
      </c>
      <c r="F20" s="61"/>
      <c r="G20" s="77">
        <f>(70803*(1+(1*0.03)))*1.07</f>
        <v>78031.986300000004</v>
      </c>
      <c r="H20" s="61"/>
      <c r="I20" s="77">
        <f>70803*(1+(1*0.03))</f>
        <v>72927.09</v>
      </c>
    </row>
    <row r="21" spans="1:9" ht="15.6" x14ac:dyDescent="0.3">
      <c r="A21" s="11" t="s">
        <v>65</v>
      </c>
      <c r="B21" s="11"/>
      <c r="C21" s="76">
        <f>(71759*(1+(1*0.03)))*1.03</f>
        <v>76129.123100000012</v>
      </c>
      <c r="D21" s="11"/>
      <c r="E21" s="76">
        <f>(71759*(1+(1*0.03)))*1.05</f>
        <v>77607.358500000002</v>
      </c>
      <c r="F21" s="11"/>
      <c r="G21" s="76">
        <f>(71759*(1+(1*0.03)))*1.07</f>
        <v>79085.593900000007</v>
      </c>
      <c r="H21" s="11"/>
      <c r="I21" s="76">
        <f>71759*(1+(1*0.03))</f>
        <v>73911.77</v>
      </c>
    </row>
    <row r="22" spans="1:9" ht="15.6" x14ac:dyDescent="0.3">
      <c r="A22" s="61" t="s">
        <v>66</v>
      </c>
      <c r="B22" s="61"/>
      <c r="C22" s="77">
        <f>(73016*(1+(1*0.03)))*1.03</f>
        <v>77462.674400000004</v>
      </c>
      <c r="D22" s="61"/>
      <c r="E22" s="77">
        <f>(73016*(1+(1*0.03)))*1.05</f>
        <v>78966.804000000004</v>
      </c>
      <c r="F22" s="61"/>
      <c r="G22" s="77">
        <f>(73016*(1+(1*0.03)))*1.07</f>
        <v>80470.933600000004</v>
      </c>
      <c r="H22" s="61"/>
      <c r="I22" s="77">
        <f>73016*(1+(1*0.03))</f>
        <v>75206.48</v>
      </c>
    </row>
    <row r="23" spans="1:9" ht="15.6" x14ac:dyDescent="0.3">
      <c r="A23" s="11" t="s">
        <v>67</v>
      </c>
      <c r="B23" s="11"/>
      <c r="C23" s="76">
        <f>(74294*(1+(1*0.03)))*1.03</f>
        <v>78818.504600000015</v>
      </c>
      <c r="D23" s="11"/>
      <c r="E23" s="76">
        <f>(74294*(1+(1*0.03)))*1.05</f>
        <v>80348.96100000001</v>
      </c>
      <c r="F23" s="11"/>
      <c r="G23" s="76">
        <f>(74294*(1+(1*0.03)))*1.07</f>
        <v>81879.417400000006</v>
      </c>
      <c r="H23" s="11"/>
      <c r="I23" s="76">
        <f>74294*(1+(1*0.03))</f>
        <v>76522.820000000007</v>
      </c>
    </row>
    <row r="24" spans="1:9" ht="15.6" x14ac:dyDescent="0.3">
      <c r="A24" s="61" t="s">
        <v>68</v>
      </c>
      <c r="B24" s="61"/>
      <c r="C24" s="77">
        <f>(75593*(1+(1*0.03)))*1.03</f>
        <v>80196.613700000016</v>
      </c>
      <c r="D24" s="61"/>
      <c r="E24" s="77">
        <f>(75593*(1+(1*0.03)))*1.05</f>
        <v>81753.829500000007</v>
      </c>
      <c r="F24" s="61"/>
      <c r="G24" s="77">
        <f>(75593*(1+(1*0.03)))*1.07</f>
        <v>83311.045300000013</v>
      </c>
      <c r="H24" s="61"/>
      <c r="I24" s="77">
        <f>75593*(1+(1*0.03))</f>
        <v>77860.790000000008</v>
      </c>
    </row>
    <row r="25" spans="1:9" ht="15.6" x14ac:dyDescent="0.3">
      <c r="A25" s="11" t="s">
        <v>69</v>
      </c>
      <c r="B25" s="11"/>
      <c r="C25" s="76">
        <f>(76915*(1+(1*0.03)))*1.03</f>
        <v>81599.123500000002</v>
      </c>
      <c r="D25" s="11"/>
      <c r="E25" s="76">
        <f>(76915*(1+(1*0.03)))*1.05</f>
        <v>83183.572499999995</v>
      </c>
      <c r="F25" s="11"/>
      <c r="G25" s="76">
        <f>(76915*(1+(1*0.03)))*1.07</f>
        <v>84768.021500000003</v>
      </c>
      <c r="H25" s="11"/>
      <c r="I25" s="76">
        <f>76915*(1+(1*0.03))</f>
        <v>79222.45</v>
      </c>
    </row>
    <row r="26" spans="1:9" ht="15.6" x14ac:dyDescent="0.3">
      <c r="A26" s="61" t="s">
        <v>70</v>
      </c>
      <c r="B26" s="61"/>
      <c r="C26" s="77">
        <f>(78188*(1+(1*0.03)))*1.03</f>
        <v>82949.6492</v>
      </c>
      <c r="D26" s="61"/>
      <c r="E26" s="77">
        <f>(78188*(1+(1*0.03)))*1.05</f>
        <v>84560.322</v>
      </c>
      <c r="F26" s="61"/>
      <c r="G26" s="77">
        <f>(78188*(1+(1*0.03)))*1.07</f>
        <v>86170.9948</v>
      </c>
      <c r="H26" s="61"/>
      <c r="I26" s="77">
        <f>78188*(1+(1*0.03))</f>
        <v>80533.64</v>
      </c>
    </row>
    <row r="27" spans="1:9" ht="15.6" x14ac:dyDescent="0.3">
      <c r="A27" s="11" t="s">
        <v>71</v>
      </c>
      <c r="B27" s="11"/>
      <c r="C27" s="76">
        <f>(79631*(1+(1*0.03)))*1.03</f>
        <v>84480.527900000016</v>
      </c>
      <c r="D27" s="11"/>
      <c r="E27" s="76">
        <f>(79631*(1+(1*0.03)))*1.05</f>
        <v>86120.926500000016</v>
      </c>
      <c r="F27" s="11"/>
      <c r="G27" s="76">
        <f>(79631*(1+(1*0.03)))*1.07</f>
        <v>87761.325100000016</v>
      </c>
      <c r="H27" s="11"/>
      <c r="I27" s="76">
        <f>79631*(1+(1*0.03))</f>
        <v>82019.930000000008</v>
      </c>
    </row>
    <row r="28" spans="1:9" ht="15.6" x14ac:dyDescent="0.3">
      <c r="A28" s="61" t="s">
        <v>72</v>
      </c>
      <c r="B28" s="61"/>
      <c r="C28" s="77">
        <f>(81025*(1+(1*0.03)))*1.03</f>
        <v>85959.422500000001</v>
      </c>
      <c r="D28" s="61"/>
      <c r="E28" s="77">
        <f>(81025*(1+(1*0.03)))*1.05</f>
        <v>87628.537500000006</v>
      </c>
      <c r="F28" s="61"/>
      <c r="G28" s="77">
        <f>(81025*(1+(1*0.03)))*1.07</f>
        <v>89297.652500000011</v>
      </c>
      <c r="H28" s="61"/>
      <c r="I28" s="77">
        <f>81025*(1+(1*0.03))</f>
        <v>83455.75</v>
      </c>
    </row>
    <row r="29" spans="1:9" ht="15.6" x14ac:dyDescent="0.3">
      <c r="A29" s="11" t="s">
        <v>73</v>
      </c>
      <c r="B29" s="11"/>
      <c r="C29" s="76">
        <f>(82442*(1+(1*0.03)))*1.03</f>
        <v>87462.717800000013</v>
      </c>
      <c r="D29" s="11"/>
      <c r="E29" s="76">
        <f>(82442*(1+(1*0.03)))*1.05</f>
        <v>89161.023000000016</v>
      </c>
      <c r="F29" s="11"/>
      <c r="G29" s="76">
        <f>(82442*(1+(1*0.03)))*1.07</f>
        <v>90859.328200000018</v>
      </c>
      <c r="H29" s="11"/>
      <c r="I29" s="76">
        <f>82442*(1+(1*0.03))</f>
        <v>84915.260000000009</v>
      </c>
    </row>
    <row r="30" spans="1:9" ht="15.6" x14ac:dyDescent="0.3">
      <c r="A30" s="61" t="s">
        <v>74</v>
      </c>
      <c r="B30" s="61"/>
      <c r="C30" s="77">
        <f>(83886*(1+(1*0.03)))*1.03</f>
        <v>88994.657400000011</v>
      </c>
      <c r="D30" s="61"/>
      <c r="E30" s="77">
        <f>(83886*(1+(1*0.03)))*1.05</f>
        <v>90722.709000000003</v>
      </c>
      <c r="F30" s="61"/>
      <c r="G30" s="77">
        <f>(83886*(1+(1*0.03)))*1.07</f>
        <v>92450.760600000009</v>
      </c>
      <c r="H30" s="61"/>
      <c r="I30" s="77">
        <f>83886*(1+(1*0.03))</f>
        <v>86402.58</v>
      </c>
    </row>
    <row r="31" spans="1:9" ht="15.6" x14ac:dyDescent="0.3">
      <c r="A31" s="11" t="s">
        <v>75</v>
      </c>
      <c r="B31" s="11"/>
      <c r="C31" s="76">
        <f>(85361*(1+(1*0.03)))*1.03</f>
        <v>90559.48490000001</v>
      </c>
      <c r="D31" s="11"/>
      <c r="E31" s="76">
        <f>(85361*(1+(1*0.03)))*1.05</f>
        <v>92317.921500000011</v>
      </c>
      <c r="F31" s="11"/>
      <c r="G31" s="76">
        <f>(85361*(1+(1*0.03)))*1.07</f>
        <v>94076.358100000012</v>
      </c>
      <c r="H31" s="11"/>
      <c r="I31" s="76">
        <f>85361*(1+(1*0.03))</f>
        <v>87921.83</v>
      </c>
    </row>
    <row r="32" spans="1:9" ht="15.6" x14ac:dyDescent="0.3">
      <c r="A32" s="61" t="s">
        <v>76</v>
      </c>
      <c r="B32" s="61"/>
      <c r="C32" s="77">
        <f>(86849*(1+(1*0.03)))*1.03</f>
        <v>92138.104099999997</v>
      </c>
      <c r="D32" s="61"/>
      <c r="E32" s="77">
        <f>(86849*(1+(1*0.03)))*1.05</f>
        <v>93927.193500000008</v>
      </c>
      <c r="F32" s="61"/>
      <c r="G32" s="77">
        <f>(86849*(1+(1*0.03)))*1.07</f>
        <v>95716.282900000006</v>
      </c>
      <c r="H32" s="61"/>
      <c r="I32" s="77">
        <f>86849*(1+(1*0.03))</f>
        <v>89454.47</v>
      </c>
    </row>
    <row r="33" spans="1:9" ht="15.6" x14ac:dyDescent="0.3">
      <c r="A33" s="11" t="s">
        <v>77</v>
      </c>
      <c r="B33" s="11"/>
      <c r="C33" s="76">
        <f>(88368*(1+(1*0.03)))*1.03</f>
        <v>93749.611200000014</v>
      </c>
      <c r="D33" s="11"/>
      <c r="E33" s="76">
        <f>(88368*(1+(1*0.03)))*1.05</f>
        <v>95569.992000000013</v>
      </c>
      <c r="F33" s="11"/>
      <c r="G33" s="76">
        <f>(88368*(1+(1*0.03)))*1.07</f>
        <v>97390.372800000012</v>
      </c>
      <c r="H33" s="11"/>
      <c r="I33" s="76">
        <f>88368*(1+(1*0.03))</f>
        <v>91019.040000000008</v>
      </c>
    </row>
    <row r="34" spans="1:9" ht="15.6" x14ac:dyDescent="0.3">
      <c r="A34" s="11"/>
      <c r="B34" s="11"/>
      <c r="C34" s="11"/>
      <c r="D34" s="11"/>
      <c r="E34" s="11"/>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687C4-19AF-4EBA-97E5-E421F1E485CC}">
  <dimension ref="A1:I34"/>
  <sheetViews>
    <sheetView workbookViewId="0">
      <selection activeCell="J5" sqref="J5"/>
    </sheetView>
  </sheetViews>
  <sheetFormatPr defaultRowHeight="14.4" x14ac:dyDescent="0.3"/>
  <cols>
    <col min="1" max="1" width="22.6640625" customWidth="1"/>
    <col min="2" max="2" width="4.109375" customWidth="1"/>
    <col min="3" max="3" width="15.33203125" customWidth="1"/>
    <col min="4" max="4" width="4.33203125" customWidth="1"/>
    <col min="5" max="5" width="14.21875" customWidth="1"/>
    <col min="6" max="6" width="4.88671875" customWidth="1"/>
    <col min="7" max="7" width="13.6640625" customWidth="1"/>
    <col min="8" max="8" width="4.44140625" customWidth="1"/>
    <col min="9" max="9" width="14.33203125" bestFit="1" customWidth="1"/>
  </cols>
  <sheetData>
    <row r="1" spans="1:9" ht="15.6" x14ac:dyDescent="0.3">
      <c r="A1" s="10" t="s">
        <v>140</v>
      </c>
    </row>
    <row r="3" spans="1:9" x14ac:dyDescent="0.3">
      <c r="A3" s="37" t="s">
        <v>141</v>
      </c>
    </row>
    <row r="4" spans="1:9" x14ac:dyDescent="0.3">
      <c r="A4" t="s">
        <v>142</v>
      </c>
    </row>
    <row r="6" spans="1:9" x14ac:dyDescent="0.3">
      <c r="I6" t="s">
        <v>123</v>
      </c>
    </row>
    <row r="7" spans="1:9" ht="15.6" x14ac:dyDescent="0.3">
      <c r="A7" s="10" t="s">
        <v>52</v>
      </c>
      <c r="C7" s="69" t="s">
        <v>133</v>
      </c>
      <c r="E7" s="71" t="s">
        <v>134</v>
      </c>
      <c r="G7" s="70" t="s">
        <v>135</v>
      </c>
      <c r="I7" s="72" t="s">
        <v>122</v>
      </c>
    </row>
    <row r="8" spans="1:9" ht="15.6" x14ac:dyDescent="0.3">
      <c r="A8" s="11"/>
      <c r="B8" s="11"/>
      <c r="C8" s="11"/>
      <c r="D8" s="11"/>
      <c r="E8" s="11"/>
    </row>
    <row r="9" spans="1:9" ht="15.6" x14ac:dyDescent="0.3">
      <c r="A9" s="11" t="s">
        <v>53</v>
      </c>
      <c r="B9" s="11"/>
      <c r="C9" s="76">
        <f>(46208*(1+(1*0.03)))*1.03</f>
        <v>49022.067199999998</v>
      </c>
      <c r="D9" s="11"/>
      <c r="E9" s="76">
        <f>(46208*(1+(1*0.03)))*1.05</f>
        <v>49973.951999999997</v>
      </c>
      <c r="F9" s="11"/>
      <c r="G9" s="76">
        <v>50926</v>
      </c>
      <c r="H9" s="11"/>
      <c r="I9" s="76">
        <f>46208*(1+(1*0.03))</f>
        <v>47594.239999999998</v>
      </c>
    </row>
    <row r="10" spans="1:9" ht="15.6" x14ac:dyDescent="0.3">
      <c r="A10" s="61" t="s">
        <v>54</v>
      </c>
      <c r="B10" s="61"/>
      <c r="C10" s="77">
        <f>(46670*(1+(1*0.03)))*1.03</f>
        <v>49512.203000000001</v>
      </c>
      <c r="D10" s="61"/>
      <c r="E10" s="77">
        <f>(46670*(1+(1*0.03)))*1.05</f>
        <v>50473.605000000003</v>
      </c>
      <c r="F10" s="61"/>
      <c r="G10" s="77">
        <f>(46670*(1+(1*0.03)))*1.07</f>
        <v>51435.007000000005</v>
      </c>
      <c r="H10" s="61"/>
      <c r="I10" s="77">
        <f>46670*(1+(1*0.03))</f>
        <v>48070.1</v>
      </c>
    </row>
    <row r="11" spans="1:9" ht="15.6" x14ac:dyDescent="0.3">
      <c r="A11" s="11" t="s">
        <v>55</v>
      </c>
      <c r="B11" s="11"/>
      <c r="C11" s="76">
        <f>(47839*(1+(1*0.03)))*1.03</f>
        <v>50752.395100000002</v>
      </c>
      <c r="D11" s="11"/>
      <c r="E11" s="76">
        <f>(47839*(1+(1*0.03)))*1.05</f>
        <v>51737.878499999999</v>
      </c>
      <c r="F11" s="11"/>
      <c r="G11" s="76">
        <f>(47839*(1+(1*0.03)))*1.07</f>
        <v>52723.361900000004</v>
      </c>
      <c r="H11" s="11"/>
      <c r="I11" s="76">
        <f>47839*(1+(1*0.03))</f>
        <v>49274.17</v>
      </c>
    </row>
    <row r="12" spans="1:9" ht="15.6" x14ac:dyDescent="0.3">
      <c r="A12" s="61" t="s">
        <v>56</v>
      </c>
      <c r="B12" s="61"/>
      <c r="C12" s="77">
        <f>(48676*(1+(1*0.03)))*1.03</f>
        <v>51640.368399999999</v>
      </c>
      <c r="D12" s="61"/>
      <c r="E12" s="77">
        <f>(48676*(1+(1*0.03)))*1.05</f>
        <v>52643.094000000005</v>
      </c>
      <c r="F12" s="61"/>
      <c r="G12" s="77">
        <f>(48676*(1+(1*0.03)))*1.07</f>
        <v>53645.819600000003</v>
      </c>
      <c r="H12" s="61"/>
      <c r="I12" s="77">
        <f>48676*(1+(1*0.03))</f>
        <v>50136.28</v>
      </c>
    </row>
    <row r="13" spans="1:9" ht="15.6" x14ac:dyDescent="0.3">
      <c r="A13" s="11" t="s">
        <v>57</v>
      </c>
      <c r="B13" s="11"/>
      <c r="C13" s="76">
        <f>(49527*(1+(1*0.03)))*1.03</f>
        <v>52543.194300000003</v>
      </c>
      <c r="D13" s="11"/>
      <c r="E13" s="76">
        <f>(49527*(1+(1*0.03)))*1.05</f>
        <v>53563.450500000006</v>
      </c>
      <c r="F13" s="11"/>
      <c r="G13" s="76">
        <f>(49527*(1+(1*0.03)))*1.07</f>
        <v>54583.70670000001</v>
      </c>
      <c r="H13" s="11"/>
      <c r="I13" s="76">
        <f>49527*(1+(1*0.03))</f>
        <v>51012.810000000005</v>
      </c>
    </row>
    <row r="14" spans="1:9" ht="15.6" x14ac:dyDescent="0.3">
      <c r="A14" s="61" t="s">
        <v>58</v>
      </c>
      <c r="B14" s="61"/>
      <c r="C14" s="77">
        <f>(50395*(1+(1*0.03)))*1.03</f>
        <v>53464.055500000002</v>
      </c>
      <c r="D14" s="61"/>
      <c r="E14" s="77">
        <f>(50395*(1+(1*0.03)))*1.05</f>
        <v>54502.192499999997</v>
      </c>
      <c r="F14" s="61"/>
      <c r="G14" s="77">
        <f>(50395*(1+(1*0.03)))*1.07</f>
        <v>55540.3295</v>
      </c>
      <c r="H14" s="61"/>
      <c r="I14" s="77">
        <f>50395*(1+(1*0.03))</f>
        <v>51906.85</v>
      </c>
    </row>
    <row r="15" spans="1:9" ht="15.6" x14ac:dyDescent="0.3">
      <c r="A15" s="11" t="s">
        <v>59</v>
      </c>
      <c r="B15" s="11"/>
      <c r="C15" s="76">
        <f>(51276*(1+(1*0.03)))*1.03</f>
        <v>54398.708400000003</v>
      </c>
      <c r="D15" s="11"/>
      <c r="E15" s="76">
        <f>(51276*(1+(1*0.03)))*1.05</f>
        <v>55454.993999999999</v>
      </c>
      <c r="F15" s="11"/>
      <c r="G15" s="76">
        <f>(51276*(1+(1*0.03)))*1.07</f>
        <v>56511.279600000002</v>
      </c>
      <c r="H15" s="11"/>
      <c r="I15" s="76">
        <f>51276*(1+(1*0.03))</f>
        <v>52814.28</v>
      </c>
    </row>
    <row r="16" spans="1:9" ht="15.6" x14ac:dyDescent="0.3">
      <c r="A16" s="61" t="s">
        <v>60</v>
      </c>
      <c r="B16" s="61"/>
      <c r="C16" s="77">
        <f>(52173*(1+(1*0.03)))*1.03</f>
        <v>55350.335700000003</v>
      </c>
      <c r="D16" s="61"/>
      <c r="E16" s="77">
        <f>(52173*(1+(1*0.03)))*1.05</f>
        <v>56425.099500000004</v>
      </c>
      <c r="F16" s="61"/>
      <c r="G16" s="77">
        <f>(52173*(1+(1*0.03)))*1.07</f>
        <v>57499.863300000005</v>
      </c>
      <c r="H16" s="61"/>
      <c r="I16" s="77">
        <f>52173*(1+(1*0.03))</f>
        <v>53738.19</v>
      </c>
    </row>
    <row r="17" spans="1:9" ht="15.6" x14ac:dyDescent="0.3">
      <c r="A17" s="11" t="s">
        <v>61</v>
      </c>
      <c r="B17" s="11"/>
      <c r="C17" s="76">
        <f>(53086*(1+(1*0.03)))*1.03</f>
        <v>56318.937400000003</v>
      </c>
      <c r="D17" s="11"/>
      <c r="E17" s="76">
        <f>(53086*(1+(1*0.03)))*1.05</f>
        <v>57412.509000000005</v>
      </c>
      <c r="F17" s="11"/>
      <c r="G17" s="76">
        <f>(53086*(1+(1*0.03)))*1.07</f>
        <v>58506.080600000008</v>
      </c>
      <c r="H17" s="11"/>
      <c r="I17" s="76">
        <f>53086*(1+(1*0.03))</f>
        <v>54678.58</v>
      </c>
    </row>
    <row r="18" spans="1:9" ht="15.6" x14ac:dyDescent="0.3">
      <c r="A18" s="61" t="s">
        <v>62</v>
      </c>
      <c r="B18" s="61"/>
      <c r="C18" s="77">
        <f>(54014*(1+(1*0.03)))*1.03</f>
        <v>57303.452599999997</v>
      </c>
      <c r="D18" s="61"/>
      <c r="E18" s="77">
        <f>(54014*(1+(1*0.03)))*1.05</f>
        <v>58416.141000000003</v>
      </c>
      <c r="F18" s="61"/>
      <c r="G18" s="77">
        <f>(54014*(1+(1*0.03)))*1.07</f>
        <v>59528.829400000002</v>
      </c>
      <c r="H18" s="61"/>
      <c r="I18" s="77">
        <f>54014*(1+(1*0.03))</f>
        <v>55634.42</v>
      </c>
    </row>
    <row r="19" spans="1:9" ht="15.6" x14ac:dyDescent="0.3">
      <c r="A19" s="11" t="s">
        <v>63</v>
      </c>
      <c r="B19" s="11"/>
      <c r="C19" s="76">
        <f>(54198*(1+(1*0.03)))*1.03</f>
        <v>57498.658200000005</v>
      </c>
      <c r="D19" s="11"/>
      <c r="E19" s="76">
        <f>(54198*(1+(1*0.03)))*1.05</f>
        <v>58615.137000000002</v>
      </c>
      <c r="F19" s="11"/>
      <c r="G19" s="76">
        <f>(54198*(1+(1*0.03)))*1.07</f>
        <v>59731.615800000007</v>
      </c>
      <c r="H19" s="11"/>
      <c r="I19" s="76">
        <f>54198*(1+(1*0.03))</f>
        <v>55823.94</v>
      </c>
    </row>
    <row r="20" spans="1:9" ht="15.6" x14ac:dyDescent="0.3">
      <c r="A20" s="61" t="s">
        <v>64</v>
      </c>
      <c r="B20" s="61"/>
      <c r="C20" s="77">
        <f>(55922*(1+(1*0.03)))*1.03</f>
        <v>59327.649800000007</v>
      </c>
      <c r="D20" s="61"/>
      <c r="E20" s="77">
        <f>(55922*(1+(1*0.03)))*1.05</f>
        <v>60479.643000000004</v>
      </c>
      <c r="F20" s="61"/>
      <c r="G20" s="77">
        <f>(55922*(1+(1*0.03)))*1.07</f>
        <v>61631.636200000008</v>
      </c>
      <c r="H20" s="61"/>
      <c r="I20" s="77">
        <f>55922*(1+(1*0.03))</f>
        <v>57599.66</v>
      </c>
    </row>
    <row r="21" spans="1:9" ht="15.6" x14ac:dyDescent="0.3">
      <c r="A21" s="11" t="s">
        <v>65</v>
      </c>
      <c r="B21" s="11"/>
      <c r="C21" s="76">
        <f>(56901*(1+(1*0.03)))*1.03</f>
        <v>60366.270900000003</v>
      </c>
      <c r="D21" s="11"/>
      <c r="E21" s="76">
        <f>(56901*(1+(1*0.03)))*1.05</f>
        <v>61538.431499999999</v>
      </c>
      <c r="F21" s="11"/>
      <c r="G21" s="76">
        <f>(56901*(1+(1*0.03)))*1.07</f>
        <v>62710.592100000002</v>
      </c>
      <c r="H21" s="11"/>
      <c r="I21" s="76">
        <f>56901*(1+(1*0.03))</f>
        <v>58608.03</v>
      </c>
    </row>
    <row r="22" spans="1:9" ht="15.6" x14ac:dyDescent="0.3">
      <c r="A22" s="61" t="s">
        <v>66</v>
      </c>
      <c r="B22" s="61"/>
      <c r="C22" s="77">
        <f>(57896*(1+(1*0.03)))*1.03</f>
        <v>61421.866400000006</v>
      </c>
      <c r="D22" s="61"/>
      <c r="E22" s="77">
        <f>(57896*(1+(1*0.03)))*1.05</f>
        <v>62614.524000000005</v>
      </c>
      <c r="F22" s="61"/>
      <c r="G22" s="77">
        <f>(57896*(1+(1*0.03)))*1.07</f>
        <v>63807.181600000011</v>
      </c>
      <c r="H22" s="61"/>
      <c r="I22" s="77">
        <f>57896*(1+(1*0.03))</f>
        <v>59632.880000000005</v>
      </c>
    </row>
    <row r="23" spans="1:9" ht="15.6" x14ac:dyDescent="0.3">
      <c r="A23" s="11" t="s">
        <v>67</v>
      </c>
      <c r="B23" s="11"/>
      <c r="C23" s="76">
        <f>(58911*(1+(1*0.03)))*1.03</f>
        <v>62498.679900000003</v>
      </c>
      <c r="D23" s="11"/>
      <c r="E23" s="76">
        <f>(58911*(1+(1*0.03)))*1.05</f>
        <v>63712.246500000001</v>
      </c>
      <c r="F23" s="11"/>
      <c r="G23" s="76">
        <f>(58911*(1+(1*0.03)))*1.07</f>
        <v>64925.813100000007</v>
      </c>
      <c r="H23" s="11"/>
      <c r="I23" s="76">
        <f>58911*(1+(1*0.03))</f>
        <v>60678.33</v>
      </c>
    </row>
    <row r="24" spans="1:9" ht="15.6" x14ac:dyDescent="0.3">
      <c r="A24" s="61" t="s">
        <v>68</v>
      </c>
      <c r="B24" s="61"/>
      <c r="C24" s="77">
        <f>(59941*(1+(1*0.03)))*1.03</f>
        <v>63591.406900000002</v>
      </c>
      <c r="D24" s="61"/>
      <c r="E24" s="77">
        <f>(59941*(1+(1*0.03)))*1.05</f>
        <v>64826.191500000008</v>
      </c>
      <c r="F24" s="61"/>
      <c r="G24" s="77">
        <f>(59941*(1+(1*0.03)))*1.07</f>
        <v>66060.976100000014</v>
      </c>
      <c r="H24" s="61"/>
      <c r="I24" s="77">
        <f>59941*(1+(1*0.03))</f>
        <v>61739.23</v>
      </c>
    </row>
    <row r="25" spans="1:9" ht="15.6" x14ac:dyDescent="0.3">
      <c r="A25" s="11" t="s">
        <v>69</v>
      </c>
      <c r="B25" s="11"/>
      <c r="C25" s="76">
        <f>(60990*(1+(1*0.03)))*1.03</f>
        <v>64704.291000000005</v>
      </c>
      <c r="D25" s="11"/>
      <c r="E25" s="76">
        <f>(60990*(1+(1*0.03)))*1.05</f>
        <v>65960.685000000012</v>
      </c>
      <c r="F25" s="11"/>
      <c r="G25" s="76">
        <f>(60990*(1+(1*0.03)))*1.07</f>
        <v>67217.079000000012</v>
      </c>
      <c r="H25" s="11"/>
      <c r="I25" s="76">
        <f>60990*(1+(1*0.03))</f>
        <v>62819.700000000004</v>
      </c>
    </row>
    <row r="26" spans="1:9" ht="15.6" x14ac:dyDescent="0.3">
      <c r="A26" s="61" t="s">
        <v>70</v>
      </c>
      <c r="B26" s="61"/>
      <c r="C26" s="77">
        <f>(62058*(1+(1*0.03)))*1.03</f>
        <v>65837.332200000004</v>
      </c>
      <c r="D26" s="61"/>
      <c r="E26" s="77">
        <f>(62058*(1+(1*0.03)))*1.05</f>
        <v>67115.727000000014</v>
      </c>
      <c r="F26" s="61"/>
      <c r="G26" s="77">
        <f>(62058*(1+(1*0.03)))*1.07</f>
        <v>68394.121800000008</v>
      </c>
      <c r="H26" s="61"/>
      <c r="I26" s="77">
        <f>62058*(1+(1*0.03))</f>
        <v>63919.740000000005</v>
      </c>
    </row>
    <row r="27" spans="1:9" ht="15.6" x14ac:dyDescent="0.3">
      <c r="A27" s="11" t="s">
        <v>71</v>
      </c>
      <c r="B27" s="11"/>
      <c r="C27" s="76">
        <f>(63144*(1+(1*0.03)))*1.03</f>
        <v>66989.469599999997</v>
      </c>
      <c r="D27" s="11"/>
      <c r="E27" s="76">
        <f>(63144*(1+(1*0.03)))*1.05</f>
        <v>68290.236000000004</v>
      </c>
      <c r="F27" s="11"/>
      <c r="G27" s="76">
        <f>(63144*(1+(1*0.03)))*1.07</f>
        <v>69591.002399999998</v>
      </c>
      <c r="H27" s="11"/>
      <c r="I27" s="76">
        <f>63144*(1+(1*0.03))</f>
        <v>65038.32</v>
      </c>
    </row>
    <row r="28" spans="1:9" ht="15.6" x14ac:dyDescent="0.3">
      <c r="A28" s="61" t="s">
        <v>72</v>
      </c>
      <c r="B28" s="61"/>
      <c r="C28" s="77">
        <f>(64248*(1+(1*0.03)))*1.03</f>
        <v>68160.703200000004</v>
      </c>
      <c r="D28" s="61"/>
      <c r="E28" s="77">
        <f>(64248*(1+(1*0.03)))*1.05</f>
        <v>69484.212</v>
      </c>
      <c r="F28" s="61"/>
      <c r="G28" s="77">
        <f>(64248*(1+(1*0.03)))*1.07</f>
        <v>70807.72080000001</v>
      </c>
      <c r="H28" s="61"/>
      <c r="I28" s="77">
        <f>64248*(1+(1*0.03))</f>
        <v>66175.44</v>
      </c>
    </row>
    <row r="29" spans="1:9" ht="15.6" x14ac:dyDescent="0.3">
      <c r="A29" s="11" t="s">
        <v>73</v>
      </c>
      <c r="B29" s="11"/>
      <c r="C29" s="76">
        <f>(65373*(1+(1*0.03)))*1.03</f>
        <v>69354.215700000001</v>
      </c>
      <c r="D29" s="11"/>
      <c r="E29" s="76">
        <f>(65373*(1+(1*0.03)))*1.05</f>
        <v>70700.8995</v>
      </c>
      <c r="F29" s="11"/>
      <c r="G29" s="76">
        <f>(65373*(1+(1*0.03)))*1.07</f>
        <v>72047.583300000013</v>
      </c>
      <c r="H29" s="11"/>
      <c r="I29" s="76">
        <f>65373*(1+(1*0.03))</f>
        <v>67334.19</v>
      </c>
    </row>
    <row r="30" spans="1:9" ht="15.6" x14ac:dyDescent="0.3">
      <c r="A30" s="61" t="s">
        <v>74</v>
      </c>
      <c r="B30" s="61"/>
      <c r="C30" s="77">
        <f>(66517*(1+(1*0.03)))*1.03</f>
        <v>70567.885299999994</v>
      </c>
      <c r="D30" s="61"/>
      <c r="E30" s="77">
        <f>(66517*(1+(1*0.03)))*1.05</f>
        <v>71938.135500000004</v>
      </c>
      <c r="F30" s="61"/>
      <c r="G30" s="77">
        <f>(66517*(1+(1*0.03)))*1.07</f>
        <v>73308.385699999999</v>
      </c>
      <c r="H30" s="61"/>
      <c r="I30" s="77">
        <f>66517*(1+(1*0.03))</f>
        <v>68512.509999999995</v>
      </c>
    </row>
    <row r="31" spans="1:9" ht="15.6" x14ac:dyDescent="0.3">
      <c r="A31" s="11" t="s">
        <v>75</v>
      </c>
      <c r="B31" s="11"/>
      <c r="C31" s="76">
        <f>(67681*(1+(1*0.03)))*1.03</f>
        <v>71802.772900000011</v>
      </c>
      <c r="D31" s="11"/>
      <c r="E31" s="76">
        <f>(67681*(1+(1*0.03)))*1.05</f>
        <v>73197.001500000013</v>
      </c>
      <c r="F31" s="11"/>
      <c r="G31" s="76">
        <f>(67681*(1+(1*0.03)))*1.07</f>
        <v>74591.230100000015</v>
      </c>
      <c r="H31" s="11"/>
      <c r="I31" s="76">
        <f>67681*(1+(1*0.03))</f>
        <v>69711.430000000008</v>
      </c>
    </row>
    <row r="32" spans="1:9" ht="15.6" x14ac:dyDescent="0.3">
      <c r="A32" s="61" t="s">
        <v>76</v>
      </c>
      <c r="B32" s="61"/>
      <c r="C32" s="77">
        <f>(68865*(1+(1*0.03)))*1.03</f>
        <v>73058.878499999992</v>
      </c>
      <c r="D32" s="61"/>
      <c r="E32" s="77">
        <f>(68865*(1+(1*0.03)))*1.05</f>
        <v>74477.497499999998</v>
      </c>
      <c r="F32" s="61"/>
      <c r="G32" s="77">
        <f>(68865*(1+(1*0.03)))*1.07</f>
        <v>75896.116500000004</v>
      </c>
      <c r="H32" s="61"/>
      <c r="I32" s="77">
        <f>68865*(1+(1*0.03))</f>
        <v>70930.95</v>
      </c>
    </row>
    <row r="33" spans="1:9" ht="15.6" x14ac:dyDescent="0.3">
      <c r="A33" s="11" t="s">
        <v>77</v>
      </c>
      <c r="B33" s="11"/>
      <c r="C33" s="76">
        <f>(70070*(1+(1*0.03)))*1.03</f>
        <v>74337.263000000006</v>
      </c>
      <c r="D33" s="11"/>
      <c r="E33" s="76">
        <f>(70070*(1+(1*0.03)))*1.05</f>
        <v>75780.705000000016</v>
      </c>
      <c r="F33" s="11"/>
      <c r="G33" s="76">
        <f>(70070*(1+(1*0.03)))*1.07</f>
        <v>77224.147000000012</v>
      </c>
      <c r="H33" s="11"/>
      <c r="I33" s="76">
        <f>70070*(1+(1*0.03))</f>
        <v>72172.100000000006</v>
      </c>
    </row>
    <row r="34" spans="1:9" ht="15.6" x14ac:dyDescent="0.3">
      <c r="A34" s="11"/>
      <c r="B34" s="11"/>
      <c r="C34" s="11"/>
      <c r="D34" s="11"/>
      <c r="E34" s="11"/>
      <c r="G34" s="78"/>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EA71F-BC79-4D30-B409-27A655132437}">
  <dimension ref="A1:I33"/>
  <sheetViews>
    <sheetView zoomScaleNormal="100" workbookViewId="0">
      <selection activeCell="A3" sqref="A3"/>
    </sheetView>
  </sheetViews>
  <sheetFormatPr defaultRowHeight="14.4" x14ac:dyDescent="0.3"/>
  <cols>
    <col min="1" max="1" width="23.5546875" customWidth="1"/>
    <col min="2" max="2" width="4.5546875" customWidth="1"/>
    <col min="3" max="3" width="14.33203125" bestFit="1" customWidth="1"/>
    <col min="4" max="4" width="4.21875" customWidth="1"/>
    <col min="5" max="5" width="14.33203125" customWidth="1"/>
    <col min="6" max="6" width="4.109375" customWidth="1"/>
    <col min="7" max="7" width="14.33203125" bestFit="1" customWidth="1"/>
    <col min="8" max="8" width="4.33203125" customWidth="1"/>
    <col min="9" max="9" width="14.33203125" bestFit="1" customWidth="1"/>
  </cols>
  <sheetData>
    <row r="1" spans="1:9" ht="15.6" x14ac:dyDescent="0.3">
      <c r="A1" s="10" t="s">
        <v>136</v>
      </c>
    </row>
    <row r="3" spans="1:9" x14ac:dyDescent="0.3">
      <c r="A3" s="73" t="s">
        <v>143</v>
      </c>
    </row>
    <row r="5" spans="1:9" x14ac:dyDescent="0.3">
      <c r="I5" s="75" t="s">
        <v>121</v>
      </c>
    </row>
    <row r="6" spans="1:9" ht="15.6" x14ac:dyDescent="0.3">
      <c r="A6" s="10" t="s">
        <v>52</v>
      </c>
      <c r="C6" s="69" t="s">
        <v>133</v>
      </c>
      <c r="E6" s="71" t="s">
        <v>134</v>
      </c>
      <c r="G6" s="70" t="s">
        <v>135</v>
      </c>
      <c r="I6" s="72" t="s">
        <v>122</v>
      </c>
    </row>
    <row r="7" spans="1:9" ht="15.6" x14ac:dyDescent="0.3">
      <c r="I7" s="11"/>
    </row>
    <row r="8" spans="1:9" ht="15.6" x14ac:dyDescent="0.3">
      <c r="A8" s="11" t="s">
        <v>53</v>
      </c>
      <c r="B8" s="11"/>
      <c r="C8" s="76">
        <f>(47037*(1+(1*0.03)))*1.03</f>
        <v>49901.5533</v>
      </c>
      <c r="D8" s="11"/>
      <c r="E8" s="76">
        <f>(47037*(1+(1*0.03)))*1.05</f>
        <v>50870.515500000001</v>
      </c>
      <c r="F8" s="11"/>
      <c r="G8" s="76">
        <f>(47037*(1+(1*0.03)))*1.07</f>
        <v>51839.477700000003</v>
      </c>
      <c r="H8" s="11"/>
      <c r="I8" s="76">
        <f>47037*(1+(1*0.03))</f>
        <v>48448.11</v>
      </c>
    </row>
    <row r="9" spans="1:9" ht="15.6" x14ac:dyDescent="0.3">
      <c r="A9" s="61" t="s">
        <v>54</v>
      </c>
      <c r="B9" s="61"/>
      <c r="C9" s="77">
        <f>(47860*(1+(1*0.03)))*1.03</f>
        <v>50774.674000000006</v>
      </c>
      <c r="D9" s="61"/>
      <c r="E9" s="77">
        <f>(47860*(1+(1*0.03)))*1.05</f>
        <v>51760.590000000004</v>
      </c>
      <c r="F9" s="61"/>
      <c r="G9" s="77">
        <f>(47860*(1+(1*0.03)))*1.07</f>
        <v>52746.506000000008</v>
      </c>
      <c r="H9" s="61"/>
      <c r="I9" s="77">
        <f>47860*(1+(1*0.03))</f>
        <v>49295.8</v>
      </c>
    </row>
    <row r="10" spans="1:9" ht="15.6" x14ac:dyDescent="0.3">
      <c r="A10" s="11" t="s">
        <v>55</v>
      </c>
      <c r="B10" s="11"/>
      <c r="C10" s="76">
        <f>(48698*(1+(1*0.03)))*1.03</f>
        <v>51663.708200000001</v>
      </c>
      <c r="D10" s="11"/>
      <c r="E10" s="76">
        <f>(48698*(1+(1*0.03)))*1.05</f>
        <v>52666.887000000002</v>
      </c>
      <c r="F10" s="11"/>
      <c r="G10" s="76">
        <f>(48698*(1+(1*0.03)))*1.07</f>
        <v>53670.065800000004</v>
      </c>
      <c r="H10" s="11"/>
      <c r="I10" s="76">
        <f>48698*(1+(1*0.03))</f>
        <v>50158.94</v>
      </c>
    </row>
    <row r="11" spans="1:9" ht="15.6" x14ac:dyDescent="0.3">
      <c r="A11" s="61" t="s">
        <v>56</v>
      </c>
      <c r="B11" s="61"/>
      <c r="C11" s="77">
        <f>(49550*(1+(1*0.03)))*1.03</f>
        <v>52567.595000000001</v>
      </c>
      <c r="D11" s="61"/>
      <c r="E11" s="77">
        <f>(49550*(1+(1*0.03)))*1.05</f>
        <v>53588.325000000004</v>
      </c>
      <c r="F11" s="61"/>
      <c r="G11" s="77">
        <f>(49550*(1+(1*0.03)))*1.07</f>
        <v>54609.055</v>
      </c>
      <c r="H11" s="61"/>
      <c r="I11" s="77">
        <f>49550*(1+(1*0.03))</f>
        <v>51036.5</v>
      </c>
    </row>
    <row r="12" spans="1:9" ht="15.6" x14ac:dyDescent="0.3">
      <c r="A12" s="11" t="s">
        <v>57</v>
      </c>
      <c r="B12" s="11"/>
      <c r="C12" s="76">
        <f>(50419*(1+(1*0.03)))*1.03</f>
        <v>53489.517100000005</v>
      </c>
      <c r="D12" s="11"/>
      <c r="E12" s="76">
        <f>(50419*(1+(1*0.03)))*1.05</f>
        <v>54528.148500000003</v>
      </c>
      <c r="F12" s="11"/>
      <c r="G12" s="76">
        <f>(50419*(1+(1*0.03)))*1.07</f>
        <v>55566.779900000001</v>
      </c>
      <c r="H12" s="11"/>
      <c r="I12" s="76">
        <f>50419*(1+(1*0.03))</f>
        <v>51931.57</v>
      </c>
    </row>
    <row r="13" spans="1:9" ht="15.6" x14ac:dyDescent="0.3">
      <c r="A13" s="61" t="s">
        <v>58</v>
      </c>
      <c r="B13" s="61"/>
      <c r="C13" s="77">
        <f>(51300*(1+(1*0.03)))*1.03</f>
        <v>54424.17</v>
      </c>
      <c r="D13" s="61"/>
      <c r="E13" s="77">
        <f>(51300*(1+(1*0.03)))*1.05</f>
        <v>55480.950000000004</v>
      </c>
      <c r="F13" s="61"/>
      <c r="G13" s="77">
        <f>(51300*(1+(1*0.03)))*1.07</f>
        <v>56537.73</v>
      </c>
      <c r="H13" s="61"/>
      <c r="I13" s="77">
        <f>51300*(1+(1*0.03))</f>
        <v>52839</v>
      </c>
    </row>
    <row r="14" spans="1:9" ht="15.6" x14ac:dyDescent="0.3">
      <c r="A14" s="11" t="s">
        <v>59</v>
      </c>
      <c r="B14" s="11"/>
      <c r="C14" s="76">
        <f>(52197*(1+(1*0.03)))*1.03</f>
        <v>55375.797300000006</v>
      </c>
      <c r="D14" s="11"/>
      <c r="E14" s="76">
        <f>(52197*(1+(1*0.03)))*1.05</f>
        <v>56451.055500000009</v>
      </c>
      <c r="F14" s="11"/>
      <c r="G14" s="76">
        <f>(52197*(1+(1*0.03)))*1.07</f>
        <v>57526.313700000006</v>
      </c>
      <c r="H14" s="11"/>
      <c r="I14" s="76">
        <f>52197*(1+(1*0.03))</f>
        <v>53762.91</v>
      </c>
    </row>
    <row r="15" spans="1:9" ht="15.6" x14ac:dyDescent="0.3">
      <c r="A15" s="61" t="s">
        <v>60</v>
      </c>
      <c r="B15" s="61"/>
      <c r="C15" s="77">
        <f>(53112*(1+(1*0.03)))*1.03</f>
        <v>56346.520800000006</v>
      </c>
      <c r="D15" s="61"/>
      <c r="E15" s="77">
        <f>(53112*(1+(1*0.03)))*1.05</f>
        <v>57440.628000000004</v>
      </c>
      <c r="F15" s="61"/>
      <c r="G15" s="77">
        <f>(53112*(1+(1*0.03)))*1.07</f>
        <v>58534.735200000003</v>
      </c>
      <c r="H15" s="61"/>
      <c r="I15" s="77">
        <f>53112*(1+(1*0.03))</f>
        <v>54705.36</v>
      </c>
    </row>
    <row r="16" spans="1:9" ht="15.6" x14ac:dyDescent="0.3">
      <c r="A16" s="11" t="s">
        <v>61</v>
      </c>
      <c r="B16" s="11"/>
      <c r="C16" s="76">
        <f>(54041*(1+(1*0.03)))*1.03</f>
        <v>57332.096900000004</v>
      </c>
      <c r="D16" s="11"/>
      <c r="E16" s="76">
        <f>(54041*(1+(1*0.03)))*1.05</f>
        <v>58445.341500000002</v>
      </c>
      <c r="F16" s="11"/>
      <c r="G16" s="76">
        <f>(54041*(1+(1*0.03)))*1.07</f>
        <v>59558.586100000008</v>
      </c>
      <c r="H16" s="11"/>
      <c r="I16" s="76">
        <f>54041*(1+(1*0.03))</f>
        <v>55662.23</v>
      </c>
    </row>
    <row r="17" spans="1:9" ht="15.6" x14ac:dyDescent="0.3">
      <c r="A17" s="61" t="s">
        <v>62</v>
      </c>
      <c r="B17" s="61"/>
      <c r="C17" s="77">
        <f>(54987*(1+(1*0.03)))*1.03</f>
        <v>58335.708300000006</v>
      </c>
      <c r="D17" s="61"/>
      <c r="E17" s="77">
        <f>(54987*(1+(1*0.03)))*1.05</f>
        <v>59468.440500000004</v>
      </c>
      <c r="F17" s="61"/>
      <c r="G17" s="77">
        <f>(54987*(1+(1*0.03)))*1.07</f>
        <v>60601.172700000003</v>
      </c>
      <c r="H17" s="61"/>
      <c r="I17" s="77">
        <f>54987*(1+(1*0.03))</f>
        <v>56636.61</v>
      </c>
    </row>
    <row r="18" spans="1:9" ht="15.6" x14ac:dyDescent="0.3">
      <c r="A18" s="11" t="s">
        <v>63</v>
      </c>
      <c r="B18" s="11"/>
      <c r="C18" s="76">
        <f>(55949*(1+(1*0.03)))*1.03</f>
        <v>59356.294099999999</v>
      </c>
      <c r="D18" s="11"/>
      <c r="E18" s="76">
        <f>(55949*(1+(1*0.03)))*1.05</f>
        <v>60508.843500000003</v>
      </c>
      <c r="F18" s="11"/>
      <c r="G18" s="76">
        <f>(55949*(1+(1*0.03)))*1.07</f>
        <v>61661.392900000006</v>
      </c>
      <c r="H18" s="11"/>
      <c r="I18" s="76">
        <f>55949*(1+(1*0.03))</f>
        <v>57627.47</v>
      </c>
    </row>
    <row r="19" spans="1:9" ht="15.6" x14ac:dyDescent="0.3">
      <c r="A19" s="61" t="s">
        <v>64</v>
      </c>
      <c r="B19" s="61"/>
      <c r="C19" s="77">
        <f>(56928*(1+(1*0.03)))*1.03</f>
        <v>60394.915200000003</v>
      </c>
      <c r="D19" s="61"/>
      <c r="E19" s="77">
        <f>(56928*(1+(1*0.03)))*1.05</f>
        <v>61567.632000000005</v>
      </c>
      <c r="F19" s="61"/>
      <c r="G19" s="77">
        <f>(56928*(1+(1*0.03)))*1.07</f>
        <v>62740.348800000007</v>
      </c>
      <c r="H19" s="61"/>
      <c r="I19" s="77">
        <f>56928*(1+(1*0.03))</f>
        <v>58635.840000000004</v>
      </c>
    </row>
    <row r="20" spans="1:9" ht="15.6" x14ac:dyDescent="0.3">
      <c r="A20" s="11" t="s">
        <v>65</v>
      </c>
      <c r="B20" s="11"/>
      <c r="C20" s="76">
        <f>(57924*(1+(1*0.03)))*1.03</f>
        <v>61451.571600000003</v>
      </c>
      <c r="D20" s="11"/>
      <c r="E20" s="76">
        <f>(57924*(1+(1*0.03)))*1.05</f>
        <v>62644.806000000004</v>
      </c>
      <c r="F20" s="11"/>
      <c r="G20" s="76">
        <f>(57924*(1+(1*0.03)))*1.07</f>
        <v>63838.040400000005</v>
      </c>
      <c r="H20" s="11"/>
      <c r="I20" s="76">
        <f>57924*(1+(1*0.03))</f>
        <v>59661.72</v>
      </c>
    </row>
    <row r="21" spans="1:9" ht="15.6" x14ac:dyDescent="0.3">
      <c r="A21" s="61" t="s">
        <v>66</v>
      </c>
      <c r="B21" s="61"/>
      <c r="C21" s="77">
        <f>(58938*(1+(1*0.03)))*1.03</f>
        <v>62527.324200000003</v>
      </c>
      <c r="D21" s="61"/>
      <c r="E21" s="77">
        <f>(58938*(1+(1*0.03)))*1.05</f>
        <v>63741.447</v>
      </c>
      <c r="F21" s="61"/>
      <c r="G21" s="77">
        <f>(58938*(1+(1*0.03)))*1.07</f>
        <v>64955.569800000005</v>
      </c>
      <c r="H21" s="61"/>
      <c r="I21" s="77">
        <f>58938*(1+(1*0.03))</f>
        <v>60706.14</v>
      </c>
    </row>
    <row r="22" spans="1:9" ht="15.6" x14ac:dyDescent="0.3">
      <c r="A22" s="11" t="s">
        <v>67</v>
      </c>
      <c r="B22" s="11"/>
      <c r="C22" s="76">
        <f>(59969*(1+(1*0.03)))*1.03</f>
        <v>63621.112099999998</v>
      </c>
      <c r="D22" s="11"/>
      <c r="E22" s="76">
        <f>(59969*(1+(1*0.03)))*1.05</f>
        <v>64856.4735</v>
      </c>
      <c r="F22" s="11"/>
      <c r="G22" s="76">
        <f>(59969*(1+(1*0.03)))*1.07</f>
        <v>66091.834900000002</v>
      </c>
      <c r="H22" s="11"/>
      <c r="I22" s="76">
        <f>59969*(1+(1*0.03))</f>
        <v>61768.07</v>
      </c>
    </row>
    <row r="23" spans="1:9" ht="15.6" x14ac:dyDescent="0.3">
      <c r="A23" s="61" t="s">
        <v>68</v>
      </c>
      <c r="B23" s="61"/>
      <c r="C23" s="77">
        <f>(61018*(1+(1*0.03)))*1.03</f>
        <v>64733.996200000001</v>
      </c>
      <c r="D23" s="61"/>
      <c r="E23" s="77">
        <f>(61018*(1+(1*0.03)))*1.05</f>
        <v>65990.967000000004</v>
      </c>
      <c r="F23" s="61"/>
      <c r="G23" s="77">
        <f>(61018*(1+(1*0.03)))*1.07</f>
        <v>67247.9378</v>
      </c>
      <c r="H23" s="61"/>
      <c r="I23" s="77">
        <f>61018*(1+(1*0.03))</f>
        <v>62848.54</v>
      </c>
    </row>
    <row r="24" spans="1:9" ht="15.6" x14ac:dyDescent="0.3">
      <c r="A24" s="11" t="s">
        <v>69</v>
      </c>
      <c r="B24" s="11"/>
      <c r="C24" s="76">
        <f>(62086*(1+(1*0.03)))*1.03</f>
        <v>65867.037400000001</v>
      </c>
      <c r="D24" s="11"/>
      <c r="E24" s="76">
        <f>(62086*(1+(1*0.03)))*1.05</f>
        <v>67146.009000000005</v>
      </c>
      <c r="F24" s="11"/>
      <c r="G24" s="76">
        <f>(62086*(1+(1*0.03)))*1.07</f>
        <v>68424.98060000001</v>
      </c>
      <c r="H24" s="11"/>
      <c r="I24" s="76">
        <f>62086*(1+(1*0.03))</f>
        <v>63948.58</v>
      </c>
    </row>
    <row r="25" spans="1:9" ht="15.6" x14ac:dyDescent="0.3">
      <c r="A25" s="61" t="s">
        <v>70</v>
      </c>
      <c r="B25" s="61"/>
      <c r="C25" s="77">
        <f>(63172*(1+(1*0.03)))*1.03</f>
        <v>67019.174800000008</v>
      </c>
      <c r="D25" s="61"/>
      <c r="E25" s="77">
        <f>(63172*(1+(1*0.03)))*1.05</f>
        <v>68320.518000000011</v>
      </c>
      <c r="F25" s="61"/>
      <c r="G25" s="77">
        <f>(63172*(1+(1*0.03)))*1.07</f>
        <v>69621.861200000014</v>
      </c>
      <c r="H25" s="61"/>
      <c r="I25" s="77">
        <f>63172*(1+(1*0.03))</f>
        <v>65067.16</v>
      </c>
    </row>
    <row r="26" spans="1:9" ht="15.6" x14ac:dyDescent="0.3">
      <c r="A26" s="11" t="s">
        <v>71</v>
      </c>
      <c r="B26" s="11"/>
      <c r="C26" s="76">
        <f>(64279*(1+(1*0.03)))*1.03</f>
        <v>68193.591099999991</v>
      </c>
      <c r="D26" s="11"/>
      <c r="E26" s="76">
        <f>(64279*(1+(1*0.03)))*1.05</f>
        <v>69517.738499999992</v>
      </c>
      <c r="F26" s="11"/>
      <c r="G26" s="76">
        <f>(64279*(1+(1*0.03)))*1.07</f>
        <v>70841.885899999994</v>
      </c>
      <c r="H26" s="11"/>
      <c r="I26" s="76">
        <f>64279*(1+(1*0.03))</f>
        <v>66207.37</v>
      </c>
    </row>
    <row r="27" spans="1:9" ht="15.6" x14ac:dyDescent="0.3">
      <c r="A27" s="61" t="s">
        <v>72</v>
      </c>
      <c r="B27" s="61"/>
      <c r="C27" s="77">
        <f>(65403*(1+(1*0.03)))*1.03</f>
        <v>69386.042700000005</v>
      </c>
      <c r="D27" s="61"/>
      <c r="E27" s="77">
        <f>(65403*(1+(1*0.03)))*1.05</f>
        <v>70733.344500000007</v>
      </c>
      <c r="F27" s="61"/>
      <c r="G27" s="77">
        <f>(65403*(1+(1*0.03)))*1.07</f>
        <v>72080.646300000008</v>
      </c>
      <c r="H27" s="61"/>
      <c r="I27" s="77">
        <f>65403*(1+(1*0.03))</f>
        <v>67365.09</v>
      </c>
    </row>
    <row r="28" spans="1:9" ht="15.6" x14ac:dyDescent="0.3">
      <c r="A28" s="11" t="s">
        <v>73</v>
      </c>
      <c r="B28" s="11"/>
      <c r="C28" s="76">
        <f>(66631*(1+(1*0.03)))*1.03</f>
        <v>70688.827900000004</v>
      </c>
      <c r="D28" s="11"/>
      <c r="E28" s="76">
        <f>(66631*(1+(1*0.03)))*1.05</f>
        <v>72061.426500000016</v>
      </c>
      <c r="F28" s="11"/>
      <c r="G28" s="76">
        <f>(66631*(1+(1*0.03)))*1.07</f>
        <v>73434.025100000013</v>
      </c>
      <c r="H28" s="11"/>
      <c r="I28" s="76">
        <f>66631*(1+(1*0.03))</f>
        <v>68629.930000000008</v>
      </c>
    </row>
    <row r="29" spans="1:9" ht="15.6" x14ac:dyDescent="0.3">
      <c r="A29" s="61" t="s">
        <v>74</v>
      </c>
      <c r="B29" s="61"/>
      <c r="C29" s="77">
        <f>(67712*(1+(1*0.03)))*1.03</f>
        <v>71835.660799999998</v>
      </c>
      <c r="D29" s="61"/>
      <c r="E29" s="77">
        <f>(67712*(1+(1*0.03)))*1.05</f>
        <v>73230.528000000006</v>
      </c>
      <c r="F29" s="61"/>
      <c r="G29" s="77">
        <f>(67712*(1+(1*0.03)))*1.07</f>
        <v>74625.395199999999</v>
      </c>
      <c r="H29" s="61"/>
      <c r="I29" s="77">
        <f>67712*(1+(1*0.03))</f>
        <v>69743.360000000001</v>
      </c>
    </row>
    <row r="30" spans="1:9" ht="15.6" x14ac:dyDescent="0.3">
      <c r="A30" s="11" t="s">
        <v>75</v>
      </c>
      <c r="B30" s="11"/>
      <c r="C30" s="76">
        <f>(68897*(1+(1*0.03)))*1.03</f>
        <v>73092.827300000004</v>
      </c>
      <c r="D30" s="11"/>
      <c r="E30" s="76">
        <f>(68897*(1+(1*0.03)))*1.05</f>
        <v>74512.105500000005</v>
      </c>
      <c r="F30" s="11"/>
      <c r="G30" s="76">
        <f>(68897*(1+(1*0.03)))*1.07</f>
        <v>75931.383700000006</v>
      </c>
      <c r="H30" s="11"/>
      <c r="I30" s="76">
        <f>68897*(1+(1*0.03))</f>
        <v>70963.91</v>
      </c>
    </row>
    <row r="31" spans="1:9" ht="15.6" x14ac:dyDescent="0.3">
      <c r="A31" s="61" t="s">
        <v>76</v>
      </c>
      <c r="B31" s="61"/>
      <c r="C31" s="77">
        <f>(70103*(1+(1*0.03)))*1.03</f>
        <v>74372.272700000001</v>
      </c>
      <c r="D31" s="61"/>
      <c r="E31" s="77">
        <f>(70103*(1+(1*0.03)))*1.05</f>
        <v>75816.394499999995</v>
      </c>
      <c r="F31" s="61"/>
      <c r="G31" s="77">
        <f>(70103*(1+(1*0.03)))*1.07</f>
        <v>77260.516300000003</v>
      </c>
      <c r="H31" s="61"/>
      <c r="I31" s="77">
        <f>70103*(1+(1*0.03))</f>
        <v>72206.09</v>
      </c>
    </row>
    <row r="32" spans="1:9" ht="15.6" x14ac:dyDescent="0.3">
      <c r="A32" s="11" t="s">
        <v>77</v>
      </c>
      <c r="B32" s="11"/>
      <c r="C32" s="76">
        <f>(71330*(1+(1*0.03)))*1.03</f>
        <v>75673.997000000018</v>
      </c>
      <c r="D32" s="11"/>
      <c r="E32" s="76">
        <f>(71330*(1+(1*0.03)))*1.05</f>
        <v>77143.395000000019</v>
      </c>
      <c r="F32" s="11"/>
      <c r="G32" s="76">
        <f>(71330*(1+(1*0.03)))*1.07</f>
        <v>78612.79300000002</v>
      </c>
      <c r="H32" s="11"/>
      <c r="I32" s="76">
        <f>71330*(1+(1*0.03))</f>
        <v>73469.900000000009</v>
      </c>
    </row>
    <row r="33" spans="1:2" ht="15.6" x14ac:dyDescent="0.3">
      <c r="A33" s="11"/>
      <c r="B33" s="11"/>
    </row>
  </sheetData>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6B3F3-62C2-42A5-8A81-88EEBD01BB99}">
  <dimension ref="A1:G34"/>
  <sheetViews>
    <sheetView workbookViewId="0">
      <selection activeCell="B28" sqref="B28"/>
    </sheetView>
  </sheetViews>
  <sheetFormatPr defaultRowHeight="14.4" x14ac:dyDescent="0.3"/>
  <cols>
    <col min="1" max="1" width="22.44140625" customWidth="1"/>
    <col min="2" max="2" width="9" bestFit="1" customWidth="1"/>
    <col min="3" max="3" width="11.109375" bestFit="1" customWidth="1"/>
    <col min="4" max="4" width="9" bestFit="1" customWidth="1"/>
  </cols>
  <sheetData>
    <row r="1" spans="1:7" ht="16.2" thickBot="1" x14ac:dyDescent="0.35">
      <c r="A1" s="3" t="s">
        <v>16</v>
      </c>
      <c r="B1" s="3" t="s">
        <v>17</v>
      </c>
      <c r="C1" s="4"/>
      <c r="D1" s="3" t="s">
        <v>18</v>
      </c>
      <c r="E1" s="4"/>
    </row>
    <row r="2" spans="1:7" ht="16.2" thickBot="1" x14ac:dyDescent="0.35">
      <c r="A2" s="4"/>
      <c r="B2" s="4"/>
      <c r="C2" s="4"/>
      <c r="D2" s="4"/>
      <c r="E2" s="4"/>
      <c r="G2" s="68" t="s">
        <v>137</v>
      </c>
    </row>
    <row r="3" spans="1:7" ht="16.2" thickBot="1" x14ac:dyDescent="0.35">
      <c r="A3" s="4" t="s">
        <v>19</v>
      </c>
      <c r="B3">
        <v>134897</v>
      </c>
      <c r="D3" s="9">
        <v>0.4</v>
      </c>
      <c r="E3" s="4"/>
    </row>
    <row r="4" spans="1:7" ht="16.2" thickBot="1" x14ac:dyDescent="0.35">
      <c r="A4" s="4" t="s">
        <v>21</v>
      </c>
      <c r="B4">
        <v>154592</v>
      </c>
      <c r="D4" s="9"/>
      <c r="E4" s="4"/>
    </row>
    <row r="5" spans="1:7" ht="16.2" thickBot="1" x14ac:dyDescent="0.35">
      <c r="A5" s="4" t="s">
        <v>20</v>
      </c>
      <c r="B5">
        <v>159798</v>
      </c>
      <c r="D5" s="4"/>
      <c r="E5" s="4"/>
    </row>
    <row r="6" spans="1:7" ht="16.2" thickBot="1" x14ac:dyDescent="0.35">
      <c r="A6" s="4" t="s">
        <v>22</v>
      </c>
      <c r="B6">
        <v>244293</v>
      </c>
      <c r="D6" s="4"/>
      <c r="E6" s="4"/>
    </row>
    <row r="7" spans="1:7" ht="16.2" thickBot="1" x14ac:dyDescent="0.35">
      <c r="A7" s="4" t="s">
        <v>25</v>
      </c>
      <c r="B7">
        <v>269131</v>
      </c>
      <c r="D7" s="4"/>
      <c r="E7" s="4"/>
    </row>
    <row r="8" spans="1:7" ht="16.2" thickBot="1" x14ac:dyDescent="0.35">
      <c r="A8" s="4" t="s">
        <v>23</v>
      </c>
      <c r="B8">
        <v>274600</v>
      </c>
      <c r="D8" s="4"/>
      <c r="E8" s="4"/>
    </row>
    <row r="9" spans="1:7" ht="16.2" thickBot="1" x14ac:dyDescent="0.35">
      <c r="A9" s="4" t="s">
        <v>24</v>
      </c>
      <c r="B9">
        <v>280498</v>
      </c>
      <c r="D9" s="4"/>
      <c r="E9" s="4"/>
    </row>
    <row r="10" spans="1:7" ht="16.2" thickBot="1" x14ac:dyDescent="0.35">
      <c r="A10" s="4" t="s">
        <v>26</v>
      </c>
      <c r="B10">
        <v>301563</v>
      </c>
      <c r="D10" s="4"/>
      <c r="E10" s="4"/>
    </row>
    <row r="11" spans="1:7" ht="16.2" thickBot="1" x14ac:dyDescent="0.35">
      <c r="A11" s="4" t="s">
        <v>28</v>
      </c>
      <c r="B11">
        <v>304103</v>
      </c>
      <c r="D11" s="4"/>
      <c r="E11" s="4"/>
    </row>
    <row r="12" spans="1:7" ht="16.2" thickBot="1" x14ac:dyDescent="0.35">
      <c r="A12" s="4" t="s">
        <v>29</v>
      </c>
      <c r="B12">
        <v>306295</v>
      </c>
      <c r="D12" s="5"/>
      <c r="E12" s="4"/>
    </row>
    <row r="13" spans="1:7" ht="16.2" thickBot="1" x14ac:dyDescent="0.35">
      <c r="A13" s="4" t="s">
        <v>27</v>
      </c>
      <c r="B13">
        <v>307400</v>
      </c>
      <c r="D13" s="4"/>
      <c r="E13" s="4"/>
    </row>
    <row r="14" spans="1:7" ht="16.2" thickBot="1" x14ac:dyDescent="0.35">
      <c r="A14" s="4" t="s">
        <v>30</v>
      </c>
      <c r="B14">
        <v>320804</v>
      </c>
      <c r="D14" s="4"/>
      <c r="E14" s="4"/>
    </row>
    <row r="15" spans="1:7" ht="16.2" thickBot="1" x14ac:dyDescent="0.35">
      <c r="A15" s="4" t="s">
        <v>31</v>
      </c>
      <c r="B15">
        <v>333802</v>
      </c>
      <c r="D15" s="4">
        <v>333802</v>
      </c>
      <c r="E15" s="4"/>
    </row>
    <row r="16" spans="1:7" ht="16.2" thickBot="1" x14ac:dyDescent="0.35">
      <c r="A16" s="4" t="s">
        <v>32</v>
      </c>
      <c r="B16">
        <v>341797</v>
      </c>
      <c r="D16" s="4"/>
      <c r="E16" s="4"/>
    </row>
    <row r="17" spans="1:5" ht="16.2" thickBot="1" x14ac:dyDescent="0.35">
      <c r="A17" s="4" t="s">
        <v>44</v>
      </c>
      <c r="B17">
        <v>351565</v>
      </c>
      <c r="D17" s="4"/>
      <c r="E17" s="4"/>
    </row>
    <row r="18" spans="1:5" ht="16.2" thickBot="1" x14ac:dyDescent="0.35">
      <c r="A18" s="4" t="s">
        <v>34</v>
      </c>
      <c r="B18">
        <v>371213</v>
      </c>
      <c r="D18" s="4"/>
      <c r="E18" s="4"/>
    </row>
    <row r="19" spans="1:5" ht="16.2" thickBot="1" x14ac:dyDescent="0.35">
      <c r="A19" s="4" t="s">
        <v>33</v>
      </c>
      <c r="B19">
        <v>377601</v>
      </c>
      <c r="D19" s="4"/>
      <c r="E19" s="4"/>
    </row>
    <row r="20" spans="1:5" ht="16.2" thickBot="1" x14ac:dyDescent="0.35">
      <c r="A20" s="4" t="s">
        <v>120</v>
      </c>
      <c r="B20">
        <v>379565</v>
      </c>
      <c r="D20" s="4"/>
      <c r="E20" s="4"/>
    </row>
    <row r="21" spans="1:5" ht="16.2" thickBot="1" x14ac:dyDescent="0.35">
      <c r="A21" s="4" t="s">
        <v>36</v>
      </c>
      <c r="B21">
        <v>395861</v>
      </c>
      <c r="D21" s="4"/>
      <c r="E21" s="4"/>
    </row>
    <row r="22" spans="1:5" ht="16.2" thickBot="1" x14ac:dyDescent="0.35">
      <c r="A22" s="4" t="s">
        <v>35</v>
      </c>
      <c r="B22">
        <v>418363</v>
      </c>
      <c r="D22" s="4"/>
      <c r="E22" s="4"/>
    </row>
    <row r="23" spans="1:5" ht="16.2" thickBot="1" x14ac:dyDescent="0.35">
      <c r="A23" s="4" t="s">
        <v>39</v>
      </c>
      <c r="B23">
        <v>419319</v>
      </c>
      <c r="D23" s="4"/>
      <c r="E23" s="4"/>
    </row>
    <row r="24" spans="1:5" ht="16.2" thickBot="1" x14ac:dyDescent="0.35">
      <c r="A24" s="4" t="s">
        <v>40</v>
      </c>
      <c r="B24">
        <v>464351</v>
      </c>
      <c r="D24" s="4"/>
      <c r="E24" s="4"/>
    </row>
    <row r="25" spans="1:5" ht="16.2" thickBot="1" x14ac:dyDescent="0.35">
      <c r="A25" s="4" t="s">
        <v>37</v>
      </c>
      <c r="B25">
        <v>477777</v>
      </c>
      <c r="D25" s="4"/>
      <c r="E25" s="4"/>
    </row>
    <row r="26" spans="1:5" ht="16.2" thickBot="1" x14ac:dyDescent="0.35">
      <c r="A26" s="4" t="s">
        <v>38</v>
      </c>
      <c r="B26">
        <v>516225</v>
      </c>
      <c r="D26" s="4"/>
      <c r="E26" s="4"/>
    </row>
    <row r="27" spans="1:5" ht="16.2" thickBot="1" x14ac:dyDescent="0.35">
      <c r="A27" s="4" t="s">
        <v>41</v>
      </c>
      <c r="B27">
        <v>672833</v>
      </c>
      <c r="D27" s="9">
        <v>2.02</v>
      </c>
      <c r="E27" s="4"/>
    </row>
    <row r="28" spans="1:5" ht="16.2" thickBot="1" x14ac:dyDescent="0.35">
      <c r="A28" s="3"/>
      <c r="B28" s="3"/>
      <c r="C28" s="4"/>
      <c r="D28" s="4"/>
      <c r="E28" s="4"/>
    </row>
    <row r="29" spans="1:5" ht="16.2" thickBot="1" x14ac:dyDescent="0.35">
      <c r="A29" s="6"/>
      <c r="B29" s="4"/>
      <c r="C29" s="16"/>
      <c r="D29" s="4"/>
      <c r="E29" s="4"/>
    </row>
    <row r="30" spans="1:5" ht="16.2" thickBot="1" x14ac:dyDescent="0.35">
      <c r="A30" s="7" t="s">
        <v>42</v>
      </c>
      <c r="B30" s="15"/>
      <c r="C30" s="44">
        <v>333802</v>
      </c>
      <c r="D30" s="21"/>
      <c r="E30" s="4"/>
    </row>
    <row r="31" spans="1:5" ht="16.2" thickBot="1" x14ac:dyDescent="0.35">
      <c r="A31" s="7" t="s">
        <v>43</v>
      </c>
      <c r="B31" s="15"/>
      <c r="C31" s="45">
        <v>40056</v>
      </c>
      <c r="D31" s="21"/>
      <c r="E31" s="8" t="s">
        <v>46</v>
      </c>
    </row>
    <row r="34" spans="1:1" x14ac:dyDescent="0.3">
      <c r="A34" s="37" t="s">
        <v>125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Welcome</vt:lpstr>
      <vt:lpstr>Comp Worksheet with Housing</vt:lpstr>
      <vt:lpstr>Reimbursable Expenses Worksheet</vt:lpstr>
      <vt:lpstr>Comp Worksheet with Parsonage</vt:lpstr>
      <vt:lpstr>Benefits</vt:lpstr>
      <vt:lpstr>2026 Pastor Cash Comp Housing</vt:lpstr>
      <vt:lpstr>2026 Pastor Cash Comp Parsonage</vt:lpstr>
      <vt:lpstr>Deacon Min. Salary Guidelines</vt:lpstr>
      <vt:lpstr>2025 Housing Cost Data</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Wertz</dc:creator>
  <cp:lastModifiedBy>John Wertz</cp:lastModifiedBy>
  <dcterms:created xsi:type="dcterms:W3CDTF">2021-03-11T22:21:45Z</dcterms:created>
  <dcterms:modified xsi:type="dcterms:W3CDTF">2025-08-07T12:51:06Z</dcterms:modified>
</cp:coreProperties>
</file>